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mc:AlternateContent xmlns:mc="http://schemas.openxmlformats.org/markup-compatibility/2006">
    <mc:Choice Requires="x15">
      <x15ac:absPath xmlns:x15ac="http://schemas.microsoft.com/office/spreadsheetml/2010/11/ac" url="https://denverwater-my.sharepoint.com/personal/jgorma_denverwater_org/Documents/Desktop/"/>
    </mc:Choice>
  </mc:AlternateContent>
  <xr:revisionPtr revIDLastSave="43" documentId="11_2849A5DDDF0F5EE77F64DA7CDFF3B2569F976010" xr6:coauthVersionLast="45" xr6:coauthVersionMax="45" xr10:uidLastSave="{D7D269FE-5ABF-4094-BD9B-99674C00C695}"/>
  <workbookProtection workbookAlgorithmName="SHA-512" workbookHashValue="1R5Tx+OzTqL3vPura6PS3Bn+DxOWDilgYdFsDpS+zUukGC7oiiQbdtnhOmKRMvJD1YBV7O2byojPgxjz4+ezlw==" workbookSaltValue="KP/GLAPcWooUE3cBdWRh3Q==" workbookSpinCount="100000" lockStructure="1"/>
  <bookViews>
    <workbookView xWindow="-120" yWindow="-120" windowWidth="29040" windowHeight="15840" tabRatio="821" xr2:uid="{00000000-000D-0000-FFFF-FFFF00000000}"/>
  </bookViews>
  <sheets>
    <sheet name="Customer Input" sheetId="5" r:id="rId1"/>
    <sheet name="AWWAvsIPCvsUPC" sheetId="11" state="hidden" r:id="rId2"/>
    <sheet name="Database" sheetId="13" state="hidden" r:id="rId3"/>
    <sheet name="AWWA_Calculation04" sheetId="7" state="hidden" r:id="rId4"/>
    <sheet name="AWWA_Calculation14" sheetId="12" state="hidden" r:id="rId5"/>
    <sheet name="IPC_Calculation" sheetId="10" state="hidden" r:id="rId6"/>
    <sheet name="UPC_Calculation" sheetId="14" state="hidden" r:id="rId7"/>
    <sheet name="AWWA_Pressure" sheetId="6" state="hidden" r:id="rId8"/>
    <sheet name="Domestic_Sizing" sheetId="9" state="hidden" r:id="rId9"/>
  </sheets>
  <definedNames>
    <definedName name="OLE_LINK1" localSheetId="0">'Customer Input'!$B$5</definedName>
    <definedName name="_xlnm.Print_Area" localSheetId="0">'Customer Input'!$B$1:$L$67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0" i="12" l="1"/>
  <c r="D9" i="10"/>
  <c r="D8" i="10"/>
  <c r="H31" i="5"/>
  <c r="G29" i="7" l="1"/>
  <c r="L5" i="10" l="1"/>
  <c r="E13" i="10"/>
  <c r="D13" i="10"/>
  <c r="C14" i="12"/>
  <c r="C14" i="7"/>
  <c r="E25" i="14"/>
  <c r="E24" i="14" s="1"/>
  <c r="D25" i="14"/>
  <c r="D24" i="14" s="1"/>
  <c r="E14" i="14"/>
  <c r="E15" i="14"/>
  <c r="E16" i="14"/>
  <c r="D16" i="14"/>
  <c r="F16" i="14" s="1"/>
  <c r="D15" i="14"/>
  <c r="D14" i="14"/>
  <c r="F15" i="14" l="1"/>
  <c r="F14" i="14"/>
  <c r="F24" i="14"/>
  <c r="F13" i="10"/>
  <c r="F25" i="14"/>
  <c r="E2" i="14"/>
  <c r="E3" i="14"/>
  <c r="E4" i="14"/>
  <c r="E5" i="14"/>
  <c r="E6" i="14"/>
  <c r="E7" i="14"/>
  <c r="E8" i="14"/>
  <c r="E9" i="14"/>
  <c r="E10" i="14"/>
  <c r="E11" i="14"/>
  <c r="E12" i="14"/>
  <c r="E13" i="14"/>
  <c r="D6" i="14"/>
  <c r="D5" i="14"/>
  <c r="D2" i="14"/>
  <c r="H34" i="14"/>
  <c r="H33" i="14"/>
  <c r="E23" i="14"/>
  <c r="D23" i="14"/>
  <c r="E22" i="14"/>
  <c r="D22" i="14"/>
  <c r="E21" i="14"/>
  <c r="D21" i="14"/>
  <c r="E20" i="14"/>
  <c r="D20" i="14"/>
  <c r="E19" i="14"/>
  <c r="D19" i="14"/>
  <c r="E18" i="14"/>
  <c r="D18" i="14"/>
  <c r="E17" i="14"/>
  <c r="D17" i="14"/>
  <c r="D13" i="14"/>
  <c r="D12" i="14"/>
  <c r="D11" i="14"/>
  <c r="F11" i="14" s="1"/>
  <c r="D10" i="14"/>
  <c r="F10" i="14" s="1"/>
  <c r="D9" i="14"/>
  <c r="D8" i="14"/>
  <c r="D7" i="14"/>
  <c r="D4" i="14"/>
  <c r="D3" i="14"/>
  <c r="F4" i="14" l="1"/>
  <c r="F9" i="14"/>
  <c r="F20" i="14"/>
  <c r="F22" i="14"/>
  <c r="H32" i="14"/>
  <c r="F18" i="14"/>
  <c r="F23" i="14"/>
  <c r="F8" i="14"/>
  <c r="F12" i="14"/>
  <c r="F3" i="14"/>
  <c r="F6" i="14"/>
  <c r="F5" i="14"/>
  <c r="F2" i="14"/>
  <c r="F13" i="14"/>
  <c r="F7" i="14"/>
  <c r="F21" i="14"/>
  <c r="F17" i="14"/>
  <c r="F19" i="14"/>
  <c r="A2" i="13"/>
  <c r="Q2" i="13"/>
  <c r="P2" i="13"/>
  <c r="O2" i="13"/>
  <c r="N2" i="13"/>
  <c r="M2" i="13"/>
  <c r="G2" i="13"/>
  <c r="H2" i="13"/>
  <c r="F2" i="13"/>
  <c r="E2" i="13"/>
  <c r="D2" i="13"/>
  <c r="C2" i="13"/>
  <c r="B2" i="13"/>
  <c r="K2" i="13"/>
  <c r="J2" i="13"/>
  <c r="I2" i="13"/>
  <c r="D6" i="10"/>
  <c r="L6" i="10"/>
  <c r="L4" i="10"/>
  <c r="E4" i="10"/>
  <c r="E5" i="10"/>
  <c r="E8" i="10"/>
  <c r="E9" i="10"/>
  <c r="E10" i="10"/>
  <c r="E11" i="10"/>
  <c r="E12" i="10"/>
  <c r="E14" i="10"/>
  <c r="E15" i="10"/>
  <c r="E16" i="10"/>
  <c r="E17" i="10"/>
  <c r="E18" i="10"/>
  <c r="E19" i="10"/>
  <c r="E20" i="10"/>
  <c r="D4" i="10"/>
  <c r="D5" i="10"/>
  <c r="D7" i="10"/>
  <c r="D10" i="10"/>
  <c r="D11" i="10"/>
  <c r="D12" i="10"/>
  <c r="D14" i="10"/>
  <c r="D15" i="10"/>
  <c r="D16" i="10"/>
  <c r="D17" i="10"/>
  <c r="D18" i="10"/>
  <c r="D19" i="10"/>
  <c r="D20" i="10"/>
  <c r="C3" i="12"/>
  <c r="C4" i="12"/>
  <c r="D4" i="12" s="1"/>
  <c r="C5" i="12"/>
  <c r="D5" i="12" s="1"/>
  <c r="C6" i="12"/>
  <c r="D6" i="12" s="1"/>
  <c r="C7" i="12"/>
  <c r="D7" i="12" s="1"/>
  <c r="C8" i="12"/>
  <c r="D8" i="12" s="1"/>
  <c r="C9" i="12"/>
  <c r="C10" i="12"/>
  <c r="D10" i="12" s="1"/>
  <c r="C11" i="12"/>
  <c r="D11" i="12" s="1"/>
  <c r="C12" i="12"/>
  <c r="D12" i="12" s="1"/>
  <c r="C13" i="12"/>
  <c r="D13" i="12" s="1"/>
  <c r="D14" i="12"/>
  <c r="C15" i="12"/>
  <c r="D15" i="12" s="1"/>
  <c r="C16" i="12"/>
  <c r="D16" i="12" s="1"/>
  <c r="C17" i="12"/>
  <c r="D17" i="12" s="1"/>
  <c r="C18" i="12"/>
  <c r="D18" i="12" s="1"/>
  <c r="C19" i="12"/>
  <c r="D19" i="12" s="1"/>
  <c r="C20" i="12"/>
  <c r="D20" i="12" s="1"/>
  <c r="C21" i="12"/>
  <c r="D21" i="12" s="1"/>
  <c r="C3" i="7"/>
  <c r="C4" i="7"/>
  <c r="D4" i="7" s="1"/>
  <c r="C5" i="7"/>
  <c r="D5" i="7" s="1"/>
  <c r="C6" i="7"/>
  <c r="D6" i="7" s="1"/>
  <c r="C7" i="7"/>
  <c r="D7" i="7" s="1"/>
  <c r="C8" i="7"/>
  <c r="D8" i="7" s="1"/>
  <c r="C9" i="7"/>
  <c r="C10" i="7"/>
  <c r="D10" i="7" s="1"/>
  <c r="C11" i="7"/>
  <c r="D11" i="7" s="1"/>
  <c r="C12" i="7"/>
  <c r="D12" i="7" s="1"/>
  <c r="C13" i="7"/>
  <c r="D13" i="7" s="1"/>
  <c r="D14" i="7"/>
  <c r="C15" i="7"/>
  <c r="D15" i="7" s="1"/>
  <c r="C16" i="7"/>
  <c r="D16" i="7" s="1"/>
  <c r="C17" i="7"/>
  <c r="D17" i="7" s="1"/>
  <c r="C18" i="7"/>
  <c r="D18" i="7" s="1"/>
  <c r="C19" i="7"/>
  <c r="D19" i="7" s="1"/>
  <c r="C20" i="7"/>
  <c r="D20" i="7" s="1"/>
  <c r="C21" i="7"/>
  <c r="D21" i="7" s="1"/>
  <c r="C22" i="7"/>
  <c r="D22" i="7" s="1"/>
  <c r="C23" i="7"/>
  <c r="D23" i="7" s="1"/>
  <c r="C24" i="7"/>
  <c r="D24" i="7" s="1"/>
  <c r="F27" i="14" l="1"/>
  <c r="D9" i="12"/>
  <c r="D9" i="7"/>
  <c r="D3" i="12"/>
  <c r="D3" i="7"/>
  <c r="F8" i="10"/>
  <c r="F10" i="10"/>
  <c r="F17" i="10"/>
  <c r="F9" i="10"/>
  <c r="F5" i="10"/>
  <c r="F14" i="10"/>
  <c r="F18" i="10"/>
  <c r="F4" i="10"/>
  <c r="F19" i="10"/>
  <c r="F15" i="10"/>
  <c r="F20" i="10"/>
  <c r="F12" i="10"/>
  <c r="F11" i="10"/>
  <c r="F16" i="10"/>
  <c r="C2" i="7"/>
  <c r="D2" i="7" s="1"/>
  <c r="D25" i="7" s="1"/>
  <c r="G30" i="7" l="1"/>
  <c r="H30" i="14"/>
  <c r="H29" i="14"/>
  <c r="H36" i="14" s="1"/>
  <c r="C2" i="12"/>
  <c r="G29" i="12" s="1"/>
  <c r="E3" i="11" l="1"/>
  <c r="AA2" i="13" s="1"/>
  <c r="C38" i="12"/>
  <c r="C39" i="12"/>
  <c r="C37" i="12"/>
  <c r="H41" i="14" l="1"/>
  <c r="B37" i="14" s="1"/>
  <c r="H37" i="14"/>
  <c r="E4" i="11" s="1"/>
  <c r="AB2" i="13" s="1"/>
  <c r="G28" i="12"/>
  <c r="G27" i="12"/>
  <c r="H42" i="14" l="1"/>
  <c r="B38" i="14" s="1"/>
  <c r="H43" i="14" s="1"/>
  <c r="E5" i="11" s="1"/>
  <c r="AC2" i="13" s="1"/>
  <c r="D2" i="12"/>
  <c r="D25" i="12" s="1"/>
  <c r="H28" i="10"/>
  <c r="D3" i="10"/>
  <c r="H29" i="10"/>
  <c r="C29" i="10"/>
  <c r="C30" i="10"/>
  <c r="C28" i="10"/>
  <c r="L8" i="10" l="1"/>
  <c r="G31" i="7"/>
  <c r="G27" i="7"/>
  <c r="M5" i="10" l="1"/>
  <c r="E6" i="10" s="1"/>
  <c r="F6" i="10" s="1"/>
  <c r="L2" i="13"/>
  <c r="E2" i="10"/>
  <c r="M4" i="10"/>
  <c r="E3" i="10" s="1"/>
  <c r="F3" i="10" s="1"/>
  <c r="M6" i="10"/>
  <c r="E7" i="10" s="1"/>
  <c r="F7" i="10" s="1"/>
  <c r="B15" i="6"/>
  <c r="B13" i="6"/>
  <c r="B11" i="6"/>
  <c r="B9" i="6"/>
  <c r="B7" i="6"/>
  <c r="B5" i="6"/>
  <c r="A4" i="6"/>
  <c r="A5" i="6" s="1"/>
  <c r="A6" i="6" s="1"/>
  <c r="A7" i="6" s="1"/>
  <c r="A8" i="6" s="1"/>
  <c r="A9" i="6" s="1"/>
  <c r="A10" i="6" s="1"/>
  <c r="A11" i="6" s="1"/>
  <c r="A12" i="6" s="1"/>
  <c r="A13" i="6" s="1"/>
  <c r="A14" i="6" s="1"/>
  <c r="A15" i="6" s="1"/>
  <c r="A16" i="6" s="1"/>
  <c r="A17" i="6" s="1"/>
  <c r="A18" i="6" l="1"/>
  <c r="B17" i="6"/>
  <c r="H27" i="10"/>
  <c r="F2" i="10"/>
  <c r="F22" i="10" s="1"/>
  <c r="A19" i="6" l="1"/>
  <c r="B18" i="6"/>
  <c r="H25" i="10"/>
  <c r="G26" i="7"/>
  <c r="G25" i="7"/>
  <c r="A20" i="6" l="1"/>
  <c r="B19" i="6"/>
  <c r="H24" i="10"/>
  <c r="H31" i="10" l="1"/>
  <c r="H36" i="10" s="1"/>
  <c r="D3" i="11" s="1"/>
  <c r="X2" i="13" s="1"/>
  <c r="A21" i="6"/>
  <c r="B20" i="6"/>
  <c r="H32" i="10" l="1"/>
  <c r="H37" i="10" s="1"/>
  <c r="D4" i="11" s="1"/>
  <c r="Y2" i="13" s="1"/>
  <c r="A22" i="6"/>
  <c r="B21" i="6"/>
  <c r="B32" i="10"/>
  <c r="A23" i="6" l="1"/>
  <c r="B22" i="6"/>
  <c r="B33" i="10"/>
  <c r="H38" i="10" s="1"/>
  <c r="D5" i="11" s="1"/>
  <c r="Z2" i="13" s="1"/>
  <c r="A24" i="6" l="1"/>
  <c r="B24" i="6" s="1"/>
  <c r="B23" i="6"/>
  <c r="G28" i="7"/>
  <c r="G33" i="7" s="1"/>
  <c r="G25" i="12"/>
  <c r="G32" i="12" s="1"/>
  <c r="G37" i="7" l="1"/>
  <c r="G34" i="7"/>
  <c r="G38" i="7" s="1"/>
  <c r="G26" i="12"/>
  <c r="G36" i="12" s="1"/>
  <c r="B34" i="7" l="1"/>
  <c r="B4" i="11"/>
  <c r="S2" i="13" s="1"/>
  <c r="B3" i="11"/>
  <c r="R2" i="13" s="1"/>
  <c r="B33" i="7"/>
  <c r="G33" i="12"/>
  <c r="G39" i="7" l="1"/>
  <c r="B5" i="11" s="1"/>
  <c r="T2" i="13" s="1"/>
  <c r="G37" i="12"/>
  <c r="B33" i="12"/>
  <c r="C3" i="11" l="1"/>
  <c r="U2" i="13" s="1"/>
  <c r="C4" i="11"/>
  <c r="V2" i="13" s="1"/>
  <c r="B34" i="12"/>
  <c r="G38" i="12" s="1"/>
  <c r="C5" i="11" s="1"/>
  <c r="W2" i="13" s="1"/>
</calcChain>
</file>

<file path=xl/sharedStrings.xml><?xml version="1.0" encoding="utf-8"?>
<sst xmlns="http://schemas.openxmlformats.org/spreadsheetml/2006/main" count="276" uniqueCount="134">
  <si>
    <t>Applicant Name:</t>
  </si>
  <si>
    <t>Service Address:</t>
  </si>
  <si>
    <t>Property Use:</t>
  </si>
  <si>
    <t>Project ID (If applicable):</t>
  </si>
  <si>
    <t>Date:</t>
  </si>
  <si>
    <t>Residual Pressure at Project:</t>
  </si>
  <si>
    <t>Pressure Adjustment Factor</t>
  </si>
  <si>
    <t>Fixture or Appliance</t>
  </si>
  <si>
    <t>Toilet (tank)</t>
  </si>
  <si>
    <t>Toilet (flush valve)</t>
  </si>
  <si>
    <t>Bidet</t>
  </si>
  <si>
    <t>Kitchen Sink</t>
  </si>
  <si>
    <t>Bedpan washers</t>
  </si>
  <si>
    <t>Drinking fountains</t>
  </si>
  <si>
    <t>Dental units</t>
  </si>
  <si>
    <t>Laundry trays (1 to 3)</t>
  </si>
  <si>
    <t>Washing machine (8 lb)</t>
  </si>
  <si>
    <t>Washing machine (15 lb)</t>
  </si>
  <si>
    <t>Bathroom Sink (lavatory)</t>
  </si>
  <si>
    <t>Toilet (flushometer tank)</t>
  </si>
  <si>
    <t>Urinal (3/4" flush valve)</t>
  </si>
  <si>
    <t>Urinal (1" flush valve)</t>
  </si>
  <si>
    <t>Utility/Service/Mop Sink</t>
  </si>
  <si>
    <t>Dishwashing Machine</t>
  </si>
  <si>
    <t>Number of Fixtures</t>
  </si>
  <si>
    <t>Hose Bibb 1/2 in.</t>
  </si>
  <si>
    <t>Hose Bibb 5/8 in.</t>
  </si>
  <si>
    <t>Hose Bibb 3/4 in.</t>
  </si>
  <si>
    <t>Urinal (tank)</t>
  </si>
  <si>
    <t>Public*</t>
  </si>
  <si>
    <t>Private*</t>
  </si>
  <si>
    <t>Fixture Value (at 60 psi)</t>
  </si>
  <si>
    <t>Subtotal FV</t>
  </si>
  <si>
    <t>Total FV:</t>
  </si>
  <si>
    <t>Pressure Factor:</t>
  </si>
  <si>
    <t>Building Use:</t>
  </si>
  <si>
    <t>Number of Units:</t>
  </si>
  <si>
    <t>Units</t>
  </si>
  <si>
    <t>Tap Size</t>
  </si>
  <si>
    <t>Maximum Flow (110%)</t>
  </si>
  <si>
    <t>Calculated Meter and Service Size (In):</t>
  </si>
  <si>
    <t>Working Pressure (psi):</t>
  </si>
  <si>
    <t>Final Calculated Demand (gpm):</t>
  </si>
  <si>
    <t>Final Demand (gpm):</t>
  </si>
  <si>
    <t>- If multi-family please enter total units</t>
  </si>
  <si>
    <t>Private</t>
  </si>
  <si>
    <t>Public</t>
  </si>
  <si>
    <t>Washing machine (15 lb.)</t>
  </si>
  <si>
    <t>Washing machine (8 lb.)</t>
  </si>
  <si>
    <t>Bathroom Group (tank)</t>
  </si>
  <si>
    <t>Subtotal WSFU</t>
  </si>
  <si>
    <t>Total Demand (gpm)</t>
  </si>
  <si>
    <t>Flush Tank Demand (gpm):</t>
  </si>
  <si>
    <t>Flush Valve Demand (gpm):</t>
  </si>
  <si>
    <t>Flush Tank or Valve Curve:</t>
  </si>
  <si>
    <t>Number of Public Fixtures</t>
  </si>
  <si>
    <t>Number of Private Fixtures</t>
  </si>
  <si>
    <t>IPC</t>
  </si>
  <si>
    <t xml:space="preserve">Q (cfs) = </t>
  </si>
  <si>
    <t>A (ft^2) =</t>
  </si>
  <si>
    <t>Velocity (fps):</t>
  </si>
  <si>
    <t>Methodology</t>
  </si>
  <si>
    <t>Final Meter and Service Size (in):</t>
  </si>
  <si>
    <t>Building Use Code:</t>
  </si>
  <si>
    <t>AWWA 04</t>
  </si>
  <si>
    <t>AWWA 14</t>
  </si>
  <si>
    <t>Applicant E-mail Address:</t>
  </si>
  <si>
    <t>*Hose Bibb 1/2 in.</t>
  </si>
  <si>
    <t>*Hose Bibb 5/8 in.</t>
  </si>
  <si>
    <t>*Hose Bibb 3/4 in.</t>
  </si>
  <si>
    <t>*AWWA M22 Manual, Third Edition, page 39</t>
  </si>
  <si>
    <t>* IPC 2015 Appendix E Section E102.2.2 and Section E103.3</t>
  </si>
  <si>
    <t>Shower (only)</t>
  </si>
  <si>
    <t>Bathtub/Shower Combination</t>
  </si>
  <si>
    <t>Unit Type/ Model:</t>
  </si>
  <si>
    <t>(If multiple building configurations exist)</t>
  </si>
  <si>
    <t>(Please select pressure if known. If unknown leave at 80 psi)</t>
  </si>
  <si>
    <t>(mm/dd/yyyy)</t>
  </si>
  <si>
    <t>Values do not exist in AWWA</t>
  </si>
  <si>
    <t>Bathtub (only)</t>
  </si>
  <si>
    <t>Please fill in the blue boxes below.</t>
  </si>
  <si>
    <t>Fixture Count Calculation Form</t>
  </si>
  <si>
    <t>Project Name (If applicable):</t>
  </si>
  <si>
    <t>Applicant Phone #:</t>
  </si>
  <si>
    <t>Bathroom Group Calculation</t>
  </si>
  <si>
    <t>Entered FV</t>
  </si>
  <si>
    <t>Final Extra FV</t>
  </si>
  <si>
    <t>Project ID</t>
  </si>
  <si>
    <t>Project Name</t>
  </si>
  <si>
    <t>Applicant Name</t>
  </si>
  <si>
    <t>Applicant Phone</t>
  </si>
  <si>
    <t>Service Address</t>
  </si>
  <si>
    <t>Date</t>
  </si>
  <si>
    <t>Unit Type</t>
  </si>
  <si>
    <t>Applicant Email</t>
  </si>
  <si>
    <t>Property Use</t>
  </si>
  <si>
    <t>Pressure</t>
  </si>
  <si>
    <t>Lavatories</t>
  </si>
  <si>
    <t>Bathtub/Shower</t>
  </si>
  <si>
    <t>Bathroom Groups</t>
  </si>
  <si>
    <t>Toilets (Tanks)</t>
  </si>
  <si>
    <t>Toilets (Valves)</t>
  </si>
  <si>
    <t>Toilets (flushometer)</t>
  </si>
  <si>
    <t>AWWA04_Demand</t>
  </si>
  <si>
    <t>AWWA04_Size</t>
  </si>
  <si>
    <t>AWWA04_Velocity</t>
  </si>
  <si>
    <t>AWWA14_Demand</t>
  </si>
  <si>
    <t>AWWA14_Size</t>
  </si>
  <si>
    <t>AWWA14_Velocity</t>
  </si>
  <si>
    <t>IPC_Demand</t>
  </si>
  <si>
    <t>IPC_Size</t>
  </si>
  <si>
    <t>IPC_Velocity</t>
  </si>
  <si>
    <t>Common in residential bathrooms</t>
  </si>
  <si>
    <t>Common in public restrooms</t>
  </si>
  <si>
    <t>**IPC Bathroom groups are calculated in the background calculation. Please enter each fixture type above individually.</t>
  </si>
  <si>
    <t>Values do not exist in IPC</t>
  </si>
  <si>
    <t>Hose Bibb</t>
  </si>
  <si>
    <t>Hose Bibb, each additional</t>
  </si>
  <si>
    <t>Shower (Only)</t>
  </si>
  <si>
    <t>Bar Sink</t>
  </si>
  <si>
    <t>Laundry Sink</t>
  </si>
  <si>
    <t>Wash-up Sink, each set of faucets</t>
  </si>
  <si>
    <t>Values do not exist in UPC</t>
  </si>
  <si>
    <t>UPC</t>
  </si>
  <si>
    <t>UPC_Demand</t>
  </si>
  <si>
    <t>UPC_Size</t>
  </si>
  <si>
    <t>UPC_Velocity</t>
  </si>
  <si>
    <t>Calculations based on the AWWA M22 Manual Third Edition, 2015 International Plumbing Code (IPC) and Denver Water Engineering Standards</t>
  </si>
  <si>
    <t>Updated June 2018</t>
  </si>
  <si>
    <t>35 PSI to 100 PSI from AWWA M22 Second Edition</t>
  </si>
  <si>
    <t>&gt; 100 PSI was extrapolated from slope equation based on trendline of AWWA values</t>
  </si>
  <si>
    <t>Working Pressure at Meter Discharge (psi)</t>
  </si>
  <si>
    <t>Tank - Residential Curve Demand (gpm):</t>
  </si>
  <si>
    <t>Valve - Non-Residential Curve Demand (gpm):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</si>
</sst>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00"/>
  </numFmts>
  <fonts count="17" x14ac:knownFonts="1">
    <font>
      <sz val="11"/>
      <color theme="1"/>
      <name val="Calibri"/>
      <family val="2"/>
      <scheme val="minor"/>
    </font>
    <font>
      <b/>
      <sz val="11"/>
      <color theme="1"/>
      <name val="Calibri"/>
      <family val="2"/>
      <scheme val="minor"/>
    </font>
    <font>
      <sz val="10"/>
      <color theme="1"/>
      <name val="Calibri"/>
      <family val="2"/>
      <scheme val="minor"/>
    </font>
    <font>
      <sz val="10"/>
      <color theme="8" tint="-0.249977111117893"/>
      <name val="Calibri"/>
      <family val="2"/>
      <scheme val="minor"/>
    </font>
    <font>
      <i/>
      <sz val="10"/>
      <color theme="1"/>
      <name val="Calibri"/>
      <family val="2"/>
      <scheme val="minor"/>
    </font>
    <font>
      <b/>
      <sz val="10"/>
      <color theme="1"/>
      <name val="Calibri"/>
      <family val="2"/>
      <scheme val="minor"/>
    </font>
    <font>
      <b/>
      <sz val="10"/>
      <color theme="8" tint="-0.249977111117893"/>
      <name val="Calibri"/>
      <family val="2"/>
      <scheme val="minor"/>
    </font>
    <font>
      <sz val="10"/>
      <name val="Calibri"/>
      <family val="2"/>
      <scheme val="minor"/>
    </font>
    <font>
      <sz val="10"/>
      <color rgb="FFC00000"/>
      <name val="Calibri"/>
      <family val="2"/>
      <scheme val="minor"/>
    </font>
    <font>
      <sz val="8"/>
      <color theme="1"/>
      <name val="Calibri"/>
      <family val="2"/>
      <scheme val="minor"/>
    </font>
    <font>
      <sz val="10"/>
      <name val="Arial"/>
      <family val="2"/>
    </font>
    <font>
      <b/>
      <sz val="8"/>
      <color theme="1"/>
      <name val="Calibri"/>
      <family val="2"/>
      <scheme val="minor"/>
    </font>
    <font>
      <sz val="11"/>
      <color rgb="FFC00000"/>
      <name val="Calibri"/>
      <family val="2"/>
      <scheme val="minor"/>
    </font>
    <font>
      <sz val="8"/>
      <color theme="8" tint="-0.249977111117893"/>
      <name val="Calibri"/>
      <family val="2"/>
      <scheme val="minor"/>
    </font>
    <font>
      <sz val="9"/>
      <color theme="8" tint="-0.249977111117893"/>
      <name val="Calibri"/>
      <family val="2"/>
      <scheme val="minor"/>
    </font>
    <font>
      <b/>
      <sz val="15"/>
      <color theme="8" tint="-0.249977111117893"/>
      <name val="Calibri"/>
      <family val="2"/>
      <scheme val="minor"/>
    </font>
    <font>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2" tint="-0.749992370372631"/>
        <bgColor indexed="64"/>
      </patternFill>
    </fill>
    <fill>
      <patternFill patternType="solid">
        <fgColor theme="1"/>
        <bgColor indexed="64"/>
      </patternFill>
    </fill>
    <fill>
      <patternFill patternType="solid">
        <fgColor theme="7" tint="0.59996337778862885"/>
        <bgColor indexed="64"/>
      </patternFill>
    </fill>
    <fill>
      <patternFill patternType="solid">
        <fgColor theme="2" tint="-0.749961851863155"/>
        <bgColor indexed="64"/>
      </patternFill>
    </fill>
    <fill>
      <patternFill patternType="solid">
        <fgColor theme="4" tint="0.59996337778862885"/>
        <bgColor indexed="64"/>
      </patternFill>
    </fill>
  </fills>
  <borders count="13">
    <border>
      <left/>
      <right/>
      <top/>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right/>
      <top/>
      <bottom style="thin">
        <color theme="8" tint="-0.24994659260841701"/>
      </bottom>
      <diagonal/>
    </border>
    <border>
      <left/>
      <right/>
      <top style="thin">
        <color theme="8" tint="-0.24994659260841701"/>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
      <left style="thin">
        <color theme="8" tint="-0.24994659260841701"/>
      </left>
      <right/>
      <top style="thin">
        <color theme="8" tint="-0.24994659260841701"/>
      </top>
      <bottom style="thin">
        <color theme="8" tint="-0.24994659260841701"/>
      </bottom>
      <diagonal/>
    </border>
    <border>
      <left style="thin">
        <color theme="8" tint="-0.24994659260841701"/>
      </left>
      <right/>
      <top style="thin">
        <color theme="8" tint="-0.24994659260841701"/>
      </top>
      <bottom/>
      <diagonal/>
    </border>
    <border>
      <left style="thin">
        <color theme="8" tint="-0.24994659260841701"/>
      </left>
      <right/>
      <top/>
      <bottom/>
      <diagonal/>
    </border>
    <border>
      <left style="thin">
        <color theme="8" tint="-0.24994659260841701"/>
      </left>
      <right/>
      <top/>
      <bottom style="thin">
        <color theme="8" tint="-0.24994659260841701"/>
      </bottom>
      <diagonal/>
    </border>
    <border>
      <left/>
      <right/>
      <top style="thin">
        <color theme="8" tint="-0.24994659260841701"/>
      </top>
      <bottom/>
      <diagonal/>
    </border>
    <border>
      <left/>
      <right style="thin">
        <color theme="8" tint="-0.24994659260841701"/>
      </right>
      <top style="thin">
        <color theme="8" tint="-0.24994659260841701"/>
      </top>
      <bottom/>
      <diagonal/>
    </border>
    <border>
      <left/>
      <right style="thin">
        <color theme="8" tint="-0.24994659260841701"/>
      </right>
      <top/>
      <bottom/>
      <diagonal/>
    </border>
    <border>
      <left/>
      <right style="thin">
        <color theme="8" tint="-0.24994659260841701"/>
      </right>
      <top/>
      <bottom style="thin">
        <color theme="8" tint="-0.24994659260841701"/>
      </bottom>
      <diagonal/>
    </border>
  </borders>
  <cellStyleXfs count="1">
    <xf numFmtId="0" fontId="0" fillId="0" borderId="0"/>
  </cellStyleXfs>
  <cellXfs count="124">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0" fillId="0" borderId="0" xfId="0" applyFill="1" applyAlignment="1">
      <alignment horizontal="right"/>
    </xf>
    <xf numFmtId="0" fontId="0" fillId="0" borderId="0" xfId="0" applyFont="1" applyAlignment="1">
      <alignment horizontal="center" vertical="center"/>
    </xf>
    <xf numFmtId="0" fontId="0" fillId="0" borderId="0" xfId="0" applyBorder="1" applyAlignment="1">
      <alignment horizontal="center"/>
    </xf>
    <xf numFmtId="2" fontId="0" fillId="0" borderId="0" xfId="0" applyNumberFormat="1" applyBorder="1" applyAlignment="1">
      <alignment horizontal="center"/>
    </xf>
    <xf numFmtId="0" fontId="0" fillId="0" borderId="0" xfId="0" applyBorder="1"/>
    <xf numFmtId="0" fontId="0" fillId="0" borderId="0" xfId="0" applyFill="1"/>
    <xf numFmtId="0" fontId="0" fillId="0" borderId="0" xfId="0" applyFill="1" applyBorder="1"/>
    <xf numFmtId="0" fontId="2" fillId="3" borderId="1"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pplyProtection="1">
      <alignment horizontal="center" vertical="center"/>
    </xf>
    <xf numFmtId="0" fontId="0" fillId="0" borderId="0" xfId="0" applyFill="1" applyBorder="1" applyAlignment="1" applyProtection="1">
      <alignment horizontal="center"/>
    </xf>
    <xf numFmtId="0" fontId="0" fillId="0" borderId="0" xfId="0" applyFill="1" applyBorder="1" applyAlignment="1">
      <alignment horizontal="right"/>
    </xf>
    <xf numFmtId="0" fontId="1" fillId="0" borderId="0" xfId="0" applyFont="1" applyFill="1" applyBorder="1" applyAlignment="1" applyProtection="1">
      <alignment horizontal="right"/>
      <protection hidden="1"/>
    </xf>
    <xf numFmtId="0" fontId="1" fillId="0" borderId="0" xfId="0" applyFont="1" applyFill="1" applyBorder="1" applyAlignment="1" applyProtection="1">
      <alignment horizontal="center"/>
      <protection hidden="1"/>
    </xf>
    <xf numFmtId="164" fontId="0" fillId="0" borderId="0" xfId="0" applyNumberFormat="1" applyAlignment="1">
      <alignment horizontal="left" vertical="center"/>
    </xf>
    <xf numFmtId="0" fontId="0" fillId="0" borderId="0" xfId="0" applyAlignment="1">
      <alignment horizontal="right" vertical="center"/>
    </xf>
    <xf numFmtId="0" fontId="0" fillId="0" borderId="0" xfId="0" applyAlignment="1">
      <alignment horizontal="right"/>
    </xf>
    <xf numFmtId="0" fontId="0" fillId="0" borderId="0" xfId="0" applyFill="1" applyAlignment="1">
      <alignment horizontal="left" vertical="center"/>
    </xf>
    <xf numFmtId="0" fontId="0" fillId="0" borderId="0" xfId="0" applyFill="1" applyAlignment="1">
      <alignment horizontal="left"/>
    </xf>
    <xf numFmtId="164" fontId="0" fillId="0" borderId="0" xfId="0" applyNumberFormat="1" applyFill="1" applyAlignment="1">
      <alignment horizontal="left"/>
    </xf>
    <xf numFmtId="164" fontId="0" fillId="0" borderId="0" xfId="0" applyNumberFormat="1"/>
    <xf numFmtId="0" fontId="0" fillId="0" borderId="0" xfId="0" applyAlignment="1">
      <alignment horizontal="left"/>
    </xf>
    <xf numFmtId="0" fontId="1" fillId="0" borderId="0" xfId="0" applyFont="1" applyFill="1" applyAlignment="1">
      <alignment horizontal="right"/>
    </xf>
    <xf numFmtId="164" fontId="1" fillId="3" borderId="0" xfId="0" applyNumberFormat="1" applyFont="1" applyFill="1" applyAlignment="1">
      <alignment horizontal="left"/>
    </xf>
    <xf numFmtId="0" fontId="1" fillId="3" borderId="0" xfId="0" applyFont="1" applyFill="1" applyAlignment="1">
      <alignment horizontal="left"/>
    </xf>
    <xf numFmtId="0" fontId="0" fillId="5" borderId="0" xfId="0" applyFill="1" applyBorder="1" applyAlignment="1" applyProtection="1">
      <alignment horizontal="center" vertical="center"/>
    </xf>
    <xf numFmtId="0" fontId="9" fillId="3" borderId="1"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0" fillId="0" borderId="0" xfId="0" applyFill="1" applyBorder="1" applyAlignment="1">
      <alignment horizontal="left" vertical="center"/>
    </xf>
    <xf numFmtId="0" fontId="1" fillId="0" borderId="0" xfId="0" applyFont="1" applyFill="1" applyBorder="1" applyAlignment="1" applyProtection="1">
      <alignment horizontal="center" wrapText="1"/>
      <protection hidden="1"/>
    </xf>
    <xf numFmtId="0" fontId="10" fillId="0" borderId="0" xfId="0" applyFont="1"/>
    <xf numFmtId="0" fontId="10" fillId="0" borderId="0" xfId="0" applyFont="1" applyAlignment="1">
      <alignment horizontal="right"/>
    </xf>
    <xf numFmtId="0" fontId="0" fillId="0" borderId="0" xfId="0" applyFont="1"/>
    <xf numFmtId="0" fontId="0" fillId="0" borderId="0" xfId="0" applyFont="1" applyFill="1" applyAlignment="1">
      <alignment horizontal="right"/>
    </xf>
    <xf numFmtId="164" fontId="0" fillId="0" borderId="0" xfId="0" applyNumberFormat="1" applyFont="1" applyAlignment="1">
      <alignment horizontal="center" vertical="center"/>
    </xf>
    <xf numFmtId="165" fontId="0" fillId="0" borderId="0" xfId="0" applyNumberFormat="1"/>
    <xf numFmtId="0" fontId="12" fillId="0" borderId="0" xfId="0" applyFont="1" applyFill="1" applyBorder="1" applyAlignment="1" applyProtection="1">
      <alignment horizontal="center" vertical="center"/>
    </xf>
    <xf numFmtId="0" fontId="2" fillId="0" borderId="0" xfId="0" applyFont="1" applyFill="1" applyBorder="1" applyAlignment="1">
      <alignment horizontal="left"/>
    </xf>
    <xf numFmtId="0" fontId="2" fillId="0" borderId="0" xfId="0" applyFont="1" applyFill="1" applyBorder="1"/>
    <xf numFmtId="0" fontId="8" fillId="0" borderId="0" xfId="0" applyFont="1" applyFill="1" applyBorder="1" applyAlignment="1">
      <alignment horizontal="left"/>
    </xf>
    <xf numFmtId="2" fontId="0" fillId="0" borderId="0" xfId="0" applyNumberFormat="1" applyAlignment="1">
      <alignment horizontal="left"/>
    </xf>
    <xf numFmtId="0" fontId="1" fillId="0" borderId="0" xfId="0" applyFont="1"/>
    <xf numFmtId="0" fontId="0" fillId="5" borderId="0" xfId="0" applyFill="1" applyBorder="1" applyAlignment="1">
      <alignment horizontal="center" vertical="center"/>
    </xf>
    <xf numFmtId="14" fontId="0" fillId="0" borderId="0" xfId="0" applyNumberFormat="1"/>
    <xf numFmtId="0" fontId="0" fillId="2" borderId="0" xfId="0" applyFont="1" applyFill="1" applyProtection="1"/>
    <xf numFmtId="0" fontId="0" fillId="4" borderId="0" xfId="0" applyFont="1" applyFill="1" applyProtection="1"/>
    <xf numFmtId="0" fontId="0" fillId="7" borderId="0" xfId="0" applyFont="1" applyFill="1" applyProtection="1"/>
    <xf numFmtId="0" fontId="0" fillId="4" borderId="0" xfId="0" applyFill="1" applyAlignment="1" applyProtection="1">
      <alignment wrapText="1"/>
    </xf>
    <xf numFmtId="0" fontId="0" fillId="7" borderId="0" xfId="0" applyFill="1" applyAlignment="1" applyProtection="1">
      <alignment wrapText="1"/>
    </xf>
    <xf numFmtId="0" fontId="2" fillId="2" borderId="0" xfId="0" applyFont="1" applyFill="1" applyProtection="1"/>
    <xf numFmtId="0" fontId="2" fillId="4" borderId="0" xfId="0" applyFont="1" applyFill="1" applyProtection="1"/>
    <xf numFmtId="0" fontId="2" fillId="7" borderId="0" xfId="0" applyFont="1" applyFill="1" applyProtection="1"/>
    <xf numFmtId="0" fontId="6" fillId="2" borderId="0" xfId="0" applyFont="1" applyFill="1" applyAlignment="1" applyProtection="1">
      <alignment horizontal="right"/>
    </xf>
    <xf numFmtId="14" fontId="2" fillId="2" borderId="0" xfId="0" applyNumberFormat="1" applyFont="1" applyFill="1" applyBorder="1" applyAlignment="1" applyProtection="1">
      <alignment wrapText="1"/>
    </xf>
    <xf numFmtId="0" fontId="6" fillId="2" borderId="0" xfId="0" applyFont="1" applyFill="1" applyAlignment="1" applyProtection="1">
      <alignment horizontal="right" vertical="center"/>
    </xf>
    <xf numFmtId="0" fontId="2" fillId="2" borderId="0" xfId="0" applyFont="1" applyFill="1" applyBorder="1" applyAlignment="1" applyProtection="1">
      <alignment horizontal="left" vertical="center" wrapText="1"/>
    </xf>
    <xf numFmtId="0" fontId="6" fillId="3" borderId="0" xfId="0" applyFont="1" applyFill="1" applyAlignment="1" applyProtection="1">
      <alignment horizontal="left" vertical="center"/>
    </xf>
    <xf numFmtId="0" fontId="6" fillId="3" borderId="0" xfId="0" applyFont="1" applyFill="1" applyAlignment="1" applyProtection="1">
      <alignment horizontal="right" vertical="center" wrapText="1"/>
    </xf>
    <xf numFmtId="0" fontId="3" fillId="3" borderId="0"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4" fillId="2" borderId="0" xfId="0" applyFont="1" applyFill="1" applyAlignment="1" applyProtection="1">
      <alignment horizontal="left" vertical="center" wrapText="1"/>
    </xf>
    <xf numFmtId="0" fontId="6" fillId="2" borderId="0" xfId="0" applyFont="1" applyFill="1" applyProtection="1"/>
    <xf numFmtId="0" fontId="3" fillId="2" borderId="0" xfId="0" applyFont="1" applyFill="1" applyProtection="1"/>
    <xf numFmtId="0" fontId="6" fillId="2" borderId="0" xfId="0" quotePrefix="1" applyFont="1" applyFill="1" applyProtection="1"/>
    <xf numFmtId="0" fontId="5" fillId="2" borderId="0" xfId="0" applyFont="1" applyFill="1" applyProtection="1"/>
    <xf numFmtId="0" fontId="3" fillId="2" borderId="0" xfId="0" quotePrefix="1" applyFont="1" applyFill="1" applyProtection="1"/>
    <xf numFmtId="0" fontId="13" fillId="2" borderId="0" xfId="0" applyFont="1" applyFill="1" applyProtection="1"/>
    <xf numFmtId="0" fontId="8" fillId="2" borderId="0" xfId="0" applyFont="1" applyFill="1" applyProtection="1"/>
    <xf numFmtId="0" fontId="2" fillId="2" borderId="0" xfId="0" applyFont="1" applyFill="1" applyBorder="1" applyProtection="1"/>
    <xf numFmtId="0" fontId="6" fillId="2" borderId="0" xfId="0" applyFont="1" applyFill="1" applyBorder="1" applyAlignment="1" applyProtection="1">
      <alignment horizontal="right"/>
    </xf>
    <xf numFmtId="0" fontId="6" fillId="2" borderId="0" xfId="0" applyFont="1" applyFill="1" applyBorder="1" applyProtection="1"/>
    <xf numFmtId="0" fontId="6" fillId="2" borderId="0" xfId="0" applyFont="1" applyFill="1" applyBorder="1" applyAlignment="1" applyProtection="1">
      <alignment horizontal="center"/>
    </xf>
    <xf numFmtId="0" fontId="14" fillId="2" borderId="0" xfId="0" applyFont="1" applyFill="1" applyBorder="1" applyAlignment="1" applyProtection="1"/>
    <xf numFmtId="0" fontId="14" fillId="4" borderId="0" xfId="0" applyFont="1" applyFill="1" applyBorder="1" applyAlignment="1" applyProtection="1"/>
    <xf numFmtId="0" fontId="14" fillId="7" borderId="0" xfId="0" applyFont="1" applyFill="1" applyBorder="1" applyAlignment="1" applyProtection="1"/>
    <xf numFmtId="0" fontId="2" fillId="2" borderId="0" xfId="0" applyFont="1" applyFill="1" applyBorder="1" applyAlignment="1" applyProtection="1">
      <alignment horizontal="right"/>
    </xf>
    <xf numFmtId="0" fontId="2" fillId="2" borderId="0" xfId="0" applyFont="1" applyFill="1" applyBorder="1" applyAlignment="1" applyProtection="1">
      <alignment wrapText="1"/>
    </xf>
    <xf numFmtId="0" fontId="0" fillId="2" borderId="9" xfId="0" applyFill="1" applyBorder="1" applyAlignment="1" applyProtection="1">
      <alignment wrapText="1"/>
    </xf>
    <xf numFmtId="0" fontId="0" fillId="2" borderId="0" xfId="0" applyFill="1" applyBorder="1" applyAlignment="1" applyProtection="1">
      <alignment wrapText="1"/>
    </xf>
    <xf numFmtId="0" fontId="2" fillId="4" borderId="0" xfId="0" applyFont="1" applyFill="1" applyBorder="1" applyProtection="1"/>
    <xf numFmtId="0" fontId="2" fillId="7" borderId="0" xfId="0" applyFont="1" applyFill="1" applyBorder="1" applyProtection="1"/>
    <xf numFmtId="0" fontId="2" fillId="2" borderId="0" xfId="0" applyFont="1" applyFill="1" applyAlignment="1" applyProtection="1">
      <alignment horizontal="right"/>
    </xf>
    <xf numFmtId="0" fontId="7" fillId="2" borderId="0" xfId="0" applyFont="1" applyFill="1" applyAlignment="1" applyProtection="1">
      <alignment horizontal="right"/>
    </xf>
    <xf numFmtId="0" fontId="11" fillId="2" borderId="0" xfId="0" applyFont="1" applyFill="1" applyBorder="1" applyAlignment="1" applyProtection="1">
      <alignment horizontal="left" vertical="center"/>
    </xf>
    <xf numFmtId="164" fontId="11" fillId="2" borderId="0" xfId="0" applyNumberFormat="1" applyFont="1" applyFill="1" applyBorder="1" applyAlignment="1" applyProtection="1">
      <alignment horizontal="left" vertical="center"/>
    </xf>
    <xf numFmtId="0" fontId="11" fillId="2" borderId="0" xfId="0" applyFont="1" applyFill="1" applyProtection="1"/>
    <xf numFmtId="0" fontId="6" fillId="2" borderId="0" xfId="0" applyFont="1" applyFill="1" applyAlignment="1" applyProtection="1">
      <alignment horizontal="right" vertical="center" wrapText="1"/>
    </xf>
    <xf numFmtId="0" fontId="16" fillId="0" borderId="0" xfId="0" applyFont="1" applyFill="1" applyBorder="1" applyAlignment="1" applyProtection="1">
      <alignment horizontal="center" vertical="center"/>
    </xf>
    <xf numFmtId="0" fontId="8" fillId="2" borderId="0" xfId="0" applyFont="1" applyFill="1" applyBorder="1" applyProtection="1"/>
    <xf numFmtId="164" fontId="0" fillId="0" borderId="0" xfId="0" applyNumberFormat="1" applyAlignment="1">
      <alignment horizontal="center" vertical="center"/>
    </xf>
    <xf numFmtId="0" fontId="9" fillId="8" borderId="1" xfId="0" applyFont="1" applyFill="1" applyBorder="1" applyAlignment="1" applyProtection="1">
      <alignment horizontal="center" vertical="center"/>
      <protection locked="0"/>
    </xf>
    <xf numFmtId="0" fontId="11" fillId="0" borderId="0" xfId="0" applyFont="1" applyBorder="1"/>
    <xf numFmtId="2" fontId="0" fillId="0" borderId="0" xfId="0" applyNumberFormat="1" applyFill="1" applyAlignment="1">
      <alignment horizontal="left" vertical="center"/>
    </xf>
    <xf numFmtId="0" fontId="6" fillId="2" borderId="0" xfId="0" applyFont="1" applyFill="1" applyAlignment="1" applyProtection="1">
      <alignment horizontal="right" vertical="center" wrapText="1"/>
    </xf>
    <xf numFmtId="0" fontId="13" fillId="2" borderId="9" xfId="0" applyFont="1" applyFill="1" applyBorder="1" applyAlignment="1" applyProtection="1">
      <alignment horizontal="center" vertical="top"/>
    </xf>
    <xf numFmtId="0" fontId="0" fillId="0" borderId="9" xfId="0" applyBorder="1" applyAlignment="1" applyProtection="1">
      <alignment horizontal="center" vertical="top"/>
    </xf>
    <xf numFmtId="164" fontId="6" fillId="6" borderId="6" xfId="0" applyNumberFormat="1" applyFont="1" applyFill="1" applyBorder="1" applyAlignment="1" applyProtection="1">
      <alignment vertical="center" wrapText="1"/>
    </xf>
    <xf numFmtId="0" fontId="2" fillId="6" borderId="9" xfId="0" applyFont="1" applyFill="1" applyBorder="1" applyAlignment="1" applyProtection="1">
      <alignment wrapText="1"/>
    </xf>
    <xf numFmtId="0" fontId="2" fillId="6" borderId="10" xfId="0" applyFont="1" applyFill="1" applyBorder="1" applyAlignment="1" applyProtection="1">
      <alignment wrapText="1"/>
    </xf>
    <xf numFmtId="0" fontId="2" fillId="6" borderId="7" xfId="0" applyFont="1" applyFill="1" applyBorder="1" applyAlignment="1" applyProtection="1">
      <alignment wrapText="1"/>
    </xf>
    <xf numFmtId="0" fontId="2" fillId="6" borderId="0" xfId="0" applyFont="1" applyFill="1" applyBorder="1" applyAlignment="1" applyProtection="1">
      <alignment wrapText="1"/>
    </xf>
    <xf numFmtId="0" fontId="2" fillId="6" borderId="11" xfId="0" applyFont="1" applyFill="1" applyBorder="1" applyAlignment="1" applyProtection="1">
      <alignment wrapText="1"/>
    </xf>
    <xf numFmtId="0" fontId="2" fillId="6" borderId="8" xfId="0" applyFont="1" applyFill="1" applyBorder="1" applyAlignment="1" applyProtection="1">
      <alignment wrapText="1"/>
    </xf>
    <xf numFmtId="0" fontId="2" fillId="6" borderId="2" xfId="0" applyFont="1" applyFill="1" applyBorder="1" applyAlignment="1" applyProtection="1">
      <alignment wrapText="1"/>
    </xf>
    <xf numFmtId="0" fontId="2" fillId="6" borderId="12" xfId="0" applyFont="1" applyFill="1" applyBorder="1" applyAlignment="1" applyProtection="1">
      <alignment wrapText="1"/>
    </xf>
    <xf numFmtId="0" fontId="2" fillId="2" borderId="2" xfId="0" applyFont="1" applyFill="1" applyBorder="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15" fillId="2" borderId="0" xfId="0" applyFont="1" applyFill="1" applyAlignment="1" applyProtection="1">
      <alignment horizontal="center" vertical="center" wrapText="1"/>
    </xf>
    <xf numFmtId="14" fontId="6" fillId="2" borderId="2" xfId="0" applyNumberFormat="1"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6" fillId="2" borderId="0" xfId="0" applyFont="1" applyFill="1" applyBorder="1" applyAlignment="1" applyProtection="1">
      <alignment horizontal="center" wrapText="1"/>
    </xf>
    <xf numFmtId="0" fontId="2" fillId="2" borderId="5" xfId="0" applyFont="1" applyFill="1" applyBorder="1" applyAlignment="1" applyProtection="1">
      <alignment horizontal="right"/>
      <protection locked="0"/>
    </xf>
    <xf numFmtId="0" fontId="2" fillId="0" borderId="4" xfId="0" applyFont="1" applyBorder="1" applyAlignment="1" applyProtection="1">
      <alignment horizontal="right"/>
      <protection locked="0"/>
    </xf>
    <xf numFmtId="0" fontId="1" fillId="0" borderId="0" xfId="0" applyFont="1" applyAlignment="1">
      <alignment horizontal="center" vertical="center" wrapText="1"/>
    </xf>
    <xf numFmtId="0" fontId="1" fillId="0" borderId="0" xfId="0" applyFont="1" applyBorder="1" applyAlignment="1">
      <alignment horizontal="center" wrapText="1"/>
    </xf>
  </cellXfs>
  <cellStyles count="1">
    <cellStyle name="Normal" xfId="0" builtinId="0"/>
  </cellStyles>
  <dxfs count="2">
    <dxf>
      <border>
        <left/>
        <vertical/>
        <horizontal/>
      </border>
    </dxf>
    <dxf>
      <fill>
        <patternFill>
          <bgColor theme="0"/>
        </patternFill>
      </fill>
      <border>
        <left/>
        <top/>
        <bottom/>
        <vertical/>
        <horizontal/>
      </border>
    </dxf>
  </dxfs>
  <tableStyles count="0" defaultTableStyle="TableStyleMedium2" defaultPivotStyle="PivotStyleLight16"/>
  <colors>
    <mruColors>
      <color rgb="FFE24E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v>Pressure Factor</c:v>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8.0971128608923885E-4"/>
                  <c:y val="0.2757990667833187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AWWA_Pressure!$A$3:$A$16</c:f>
              <c:numCache>
                <c:formatCode>General</c:formatCode>
                <c:ptCount val="14"/>
                <c:pt idx="0">
                  <c:v>35</c:v>
                </c:pt>
                <c:pt idx="1">
                  <c:v>40</c:v>
                </c:pt>
                <c:pt idx="2">
                  <c:v>45</c:v>
                </c:pt>
                <c:pt idx="3">
                  <c:v>50</c:v>
                </c:pt>
                <c:pt idx="4">
                  <c:v>55</c:v>
                </c:pt>
                <c:pt idx="5">
                  <c:v>60</c:v>
                </c:pt>
                <c:pt idx="6">
                  <c:v>65</c:v>
                </c:pt>
                <c:pt idx="7">
                  <c:v>70</c:v>
                </c:pt>
                <c:pt idx="8">
                  <c:v>75</c:v>
                </c:pt>
                <c:pt idx="9">
                  <c:v>80</c:v>
                </c:pt>
                <c:pt idx="10">
                  <c:v>85</c:v>
                </c:pt>
                <c:pt idx="11">
                  <c:v>90</c:v>
                </c:pt>
                <c:pt idx="12">
                  <c:v>95</c:v>
                </c:pt>
                <c:pt idx="13">
                  <c:v>100</c:v>
                </c:pt>
              </c:numCache>
            </c:numRef>
          </c:xVal>
          <c:yVal>
            <c:numRef>
              <c:f>AWWA_Pressure!$B$3:$B$16</c:f>
              <c:numCache>
                <c:formatCode>0.00</c:formatCode>
                <c:ptCount val="14"/>
                <c:pt idx="0" formatCode="General">
                  <c:v>0.74</c:v>
                </c:pt>
                <c:pt idx="1">
                  <c:v>0.8</c:v>
                </c:pt>
                <c:pt idx="2" formatCode="General">
                  <c:v>0.85000000000000009</c:v>
                </c:pt>
                <c:pt idx="3">
                  <c:v>0.9</c:v>
                </c:pt>
                <c:pt idx="4" formatCode="General">
                  <c:v>0.95</c:v>
                </c:pt>
                <c:pt idx="5">
                  <c:v>1</c:v>
                </c:pt>
                <c:pt idx="6" formatCode="General">
                  <c:v>1.05</c:v>
                </c:pt>
                <c:pt idx="7" formatCode="General">
                  <c:v>1.0900000000000001</c:v>
                </c:pt>
                <c:pt idx="8" formatCode="General">
                  <c:v>1.1299999999999999</c:v>
                </c:pt>
                <c:pt idx="9" formatCode="General">
                  <c:v>1.17</c:v>
                </c:pt>
                <c:pt idx="10" formatCode="General">
                  <c:v>1.21</c:v>
                </c:pt>
                <c:pt idx="11" formatCode="General">
                  <c:v>1.25</c:v>
                </c:pt>
                <c:pt idx="12">
                  <c:v>1.3</c:v>
                </c:pt>
                <c:pt idx="13" formatCode="General">
                  <c:v>1.34</c:v>
                </c:pt>
              </c:numCache>
            </c:numRef>
          </c:yVal>
          <c:smooth val="0"/>
          <c:extLst>
            <c:ext xmlns:c16="http://schemas.microsoft.com/office/drawing/2014/chart" uri="{C3380CC4-5D6E-409C-BE32-E72D297353CC}">
              <c16:uniqueId val="{00000000-75B5-4FA0-BF56-A0FDC87AA010}"/>
            </c:ext>
          </c:extLst>
        </c:ser>
        <c:dLbls>
          <c:showLegendKey val="0"/>
          <c:showVal val="0"/>
          <c:showCatName val="0"/>
          <c:showSerName val="0"/>
          <c:showPercent val="0"/>
          <c:showBubbleSize val="0"/>
        </c:dLbls>
        <c:axId val="394989103"/>
        <c:axId val="168087599"/>
      </c:scatterChart>
      <c:valAx>
        <c:axId val="394989103"/>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087599"/>
        <c:crosses val="autoZero"/>
        <c:crossBetween val="midCat"/>
      </c:valAx>
      <c:valAx>
        <c:axId val="16808759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4989103"/>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tiff"/></Relationships>
</file>

<file path=xl/drawings/drawing1.xml><?xml version="1.0" encoding="utf-8"?>
<xdr:wsDr xmlns:xdr="http://schemas.openxmlformats.org/drawingml/2006/spreadsheetDrawing" xmlns:a="http://schemas.openxmlformats.org/drawingml/2006/main">
  <xdr:twoCellAnchor editAs="oneCell">
    <xdr:from>
      <xdr:col>1</xdr:col>
      <xdr:colOff>16565</xdr:colOff>
      <xdr:row>0</xdr:row>
      <xdr:rowOff>28574</xdr:rowOff>
    </xdr:from>
    <xdr:to>
      <xdr:col>4</xdr:col>
      <xdr:colOff>444776</xdr:colOff>
      <xdr:row>3</xdr:row>
      <xdr:rowOff>99391</xdr:rowOff>
    </xdr:to>
    <xdr:pic>
      <xdr:nvPicPr>
        <xdr:cNvPr id="2" name="Picture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8156" t="46617" r="64103" b="7626"/>
        <a:stretch/>
      </xdr:blipFill>
      <xdr:spPr>
        <a:xfrm>
          <a:off x="16565" y="28574"/>
          <a:ext cx="2095500" cy="642317"/>
        </a:xfrm>
        <a:prstGeom prst="rect">
          <a:avLst/>
        </a:prstGeom>
      </xdr:spPr>
    </xdr:pic>
    <xdr:clientData/>
  </xdr:twoCellAnchor>
  <xdr:twoCellAnchor>
    <xdr:from>
      <xdr:col>1</xdr:col>
      <xdr:colOff>1</xdr:colOff>
      <xdr:row>19</xdr:row>
      <xdr:rowOff>49696</xdr:rowOff>
    </xdr:from>
    <xdr:to>
      <xdr:col>12</xdr:col>
      <xdr:colOff>581025</xdr:colOff>
      <xdr:row>29</xdr:row>
      <xdr:rowOff>142875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 y="3450121"/>
          <a:ext cx="8048624" cy="1998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lvl="0"/>
          <a:r>
            <a:rPr lang="en-US" sz="1000" b="1">
              <a:solidFill>
                <a:srgbClr val="C00000"/>
              </a:solidFill>
              <a:effectLst/>
              <a:latin typeface="+mn-lt"/>
              <a:ea typeface="+mn-ea"/>
              <a:cs typeface="+mn-cs"/>
            </a:rPr>
            <a:t>Definitions</a:t>
          </a:r>
        </a:p>
        <a:p>
          <a:pPr lvl="0"/>
          <a:r>
            <a:rPr lang="en-US" sz="400" b="1">
              <a:solidFill>
                <a:srgbClr val="C00000"/>
              </a:solidFill>
              <a:effectLst/>
              <a:latin typeface="+mn-lt"/>
              <a:ea typeface="+mn-ea"/>
              <a:cs typeface="+mn-cs"/>
            </a:rPr>
            <a:t>  </a:t>
          </a:r>
        </a:p>
        <a:p>
          <a:pPr lvl="0"/>
          <a:r>
            <a:rPr lang="en-US" sz="800" b="1">
              <a:solidFill>
                <a:srgbClr val="C00000"/>
              </a:solidFill>
              <a:effectLst/>
              <a:latin typeface="+mn-lt"/>
              <a:ea typeface="+mn-ea"/>
              <a:cs typeface="+mn-cs"/>
            </a:rPr>
            <a:t>Public</a:t>
          </a:r>
          <a:r>
            <a:rPr lang="en-US" sz="800" b="1" baseline="0">
              <a:solidFill>
                <a:srgbClr val="C00000"/>
              </a:solidFill>
              <a:effectLst/>
              <a:latin typeface="+mn-lt"/>
              <a:ea typeface="+mn-ea"/>
              <a:cs typeface="+mn-cs"/>
            </a:rPr>
            <a:t> vs. Private Utilization:</a:t>
          </a:r>
          <a:endParaRPr lang="en-US" sz="800" b="1">
            <a:solidFill>
              <a:srgbClr val="C00000"/>
            </a:solidFill>
            <a:effectLst/>
            <a:latin typeface="+mn-lt"/>
            <a:ea typeface="+mn-ea"/>
            <a:cs typeface="+mn-cs"/>
          </a:endParaRPr>
        </a:p>
        <a:p>
          <a:pPr lvl="0"/>
          <a:r>
            <a:rPr lang="en-US" sz="800" b="1">
              <a:solidFill>
                <a:srgbClr val="C00000"/>
              </a:solidFill>
              <a:effectLst/>
              <a:latin typeface="+mn-lt"/>
              <a:ea typeface="+mn-ea"/>
              <a:cs typeface="+mn-cs"/>
            </a:rPr>
            <a:t>*Public utilization </a:t>
          </a:r>
          <a:r>
            <a:rPr lang="en-US" sz="800">
              <a:solidFill>
                <a:sysClr val="windowText" lastClr="000000"/>
              </a:solidFill>
              <a:effectLst/>
              <a:latin typeface="+mn-lt"/>
              <a:ea typeface="+mn-ea"/>
              <a:cs typeface="+mn-cs"/>
            </a:rPr>
            <a:t>applies to fixtures in general toilet rooms of schools, gymnasiums, hotels, airports, bus and railroad stations, public buildings, bars,</a:t>
          </a:r>
        </a:p>
        <a:p>
          <a:pPr lvl="0"/>
          <a:r>
            <a:rPr lang="en-US" sz="800">
              <a:solidFill>
                <a:sysClr val="windowText" lastClr="000000"/>
              </a:solidFill>
              <a:effectLst/>
              <a:latin typeface="+mn-lt"/>
              <a:ea typeface="+mn-ea"/>
              <a:cs typeface="+mn-cs"/>
            </a:rPr>
            <a:t>public comfort stations, office buildings, stadiums, stores, restaurants and other installations where a number of fixtures are installed so that their</a:t>
          </a:r>
        </a:p>
        <a:p>
          <a:pPr lvl="0"/>
          <a:r>
            <a:rPr lang="en-US" sz="800">
              <a:solidFill>
                <a:sysClr val="windowText" lastClr="000000"/>
              </a:solidFill>
              <a:effectLst/>
              <a:latin typeface="+mn-lt"/>
              <a:ea typeface="+mn-ea"/>
              <a:cs typeface="+mn-cs"/>
            </a:rPr>
            <a:t>utilization is similarly unrestricted.</a:t>
          </a:r>
        </a:p>
        <a:p>
          <a:r>
            <a:rPr lang="en-US" sz="400">
              <a:solidFill>
                <a:srgbClr val="C00000"/>
              </a:solidFill>
              <a:effectLst/>
              <a:latin typeface="+mn-lt"/>
              <a:ea typeface="+mn-ea"/>
              <a:cs typeface="+mn-cs"/>
            </a:rPr>
            <a:t> </a:t>
          </a:r>
        </a:p>
        <a:p>
          <a:pPr lvl="0"/>
          <a:r>
            <a:rPr lang="en-US" sz="800" b="1">
              <a:solidFill>
                <a:srgbClr val="C00000"/>
              </a:solidFill>
              <a:effectLst/>
              <a:latin typeface="+mn-lt"/>
              <a:ea typeface="+mn-ea"/>
              <a:cs typeface="+mn-cs"/>
            </a:rPr>
            <a:t>*Private utilization </a:t>
          </a:r>
          <a:r>
            <a:rPr lang="en-US" sz="800">
              <a:solidFill>
                <a:sysClr val="windowText" lastClr="000000"/>
              </a:solidFill>
              <a:effectLst/>
              <a:latin typeface="+mn-lt"/>
              <a:ea typeface="+mn-ea"/>
              <a:cs typeface="+mn-cs"/>
            </a:rPr>
            <a:t>applies to fixtures in residences and apartments, and to fixtures in nonpublic toilet rooms of hotels and motels and similar</a:t>
          </a:r>
        </a:p>
        <a:p>
          <a:pPr lvl="0"/>
          <a:r>
            <a:rPr lang="en-US" sz="800">
              <a:solidFill>
                <a:sysClr val="windowText" lastClr="000000"/>
              </a:solidFill>
              <a:effectLst/>
              <a:latin typeface="+mn-lt"/>
              <a:ea typeface="+mn-ea"/>
              <a:cs typeface="+mn-cs"/>
            </a:rPr>
            <a:t> installations in buildings where the plumbing fixtures are intended for utilization by a family or an individual.</a:t>
          </a:r>
        </a:p>
        <a:p>
          <a:pPr lvl="0"/>
          <a:r>
            <a:rPr lang="en-US" sz="400" b="1">
              <a:solidFill>
                <a:srgbClr val="C00000"/>
              </a:solidFill>
              <a:effectLst/>
              <a:latin typeface="+mn-lt"/>
              <a:ea typeface="+mn-ea"/>
              <a:cs typeface="+mn-cs"/>
            </a:rPr>
            <a:t> </a:t>
          </a:r>
        </a:p>
        <a:p>
          <a:pPr lvl="0"/>
          <a:r>
            <a:rPr lang="en-US" sz="800" b="1">
              <a:solidFill>
                <a:srgbClr val="C00000"/>
              </a:solidFill>
              <a:effectLst/>
              <a:latin typeface="+mn-lt"/>
              <a:ea typeface="+mn-ea"/>
              <a:cs typeface="+mn-cs"/>
            </a:rPr>
            <a:t>**Bathroom Group:</a:t>
          </a:r>
        </a:p>
        <a:p>
          <a:pPr lvl="0"/>
          <a:r>
            <a:rPr lang="en-US" sz="800" b="1">
              <a:solidFill>
                <a:srgbClr val="C00000"/>
              </a:solidFill>
              <a:effectLst/>
              <a:latin typeface="+mn-lt"/>
              <a:ea typeface="+mn-ea"/>
              <a:cs typeface="+mn-cs"/>
            </a:rPr>
            <a:t>A bathroom group </a:t>
          </a:r>
          <a:r>
            <a:rPr lang="en-US" sz="800">
              <a:solidFill>
                <a:sysClr val="windowText" lastClr="000000"/>
              </a:solidFill>
              <a:effectLst/>
              <a:latin typeface="+mn-lt"/>
              <a:ea typeface="+mn-ea"/>
              <a:cs typeface="+mn-cs"/>
            </a:rPr>
            <a:t>is a defined term as “a group of plumbing fixtures installed in the same room, consisting of one domestic-type lavatory (sink), one water closet (toilet) and either one bathtub (with or without a shower) or one one-head shower. </a:t>
          </a:r>
        </a:p>
        <a:p>
          <a:pPr lvl="0"/>
          <a:r>
            <a:rPr lang="en-US" sz="400">
              <a:solidFill>
                <a:sysClr val="windowText" lastClr="000000"/>
              </a:solidFill>
              <a:effectLst/>
              <a:latin typeface="+mn-lt"/>
              <a:ea typeface="+mn-ea"/>
              <a:cs typeface="+mn-cs"/>
            </a:rPr>
            <a:t> </a:t>
          </a:r>
        </a:p>
        <a:p>
          <a:pPr lvl="0"/>
          <a:r>
            <a:rPr lang="en-US" sz="800">
              <a:solidFill>
                <a:sysClr val="windowText" lastClr="000000"/>
              </a:solidFill>
              <a:effectLst/>
              <a:latin typeface="+mn-lt"/>
              <a:ea typeface="+mn-ea"/>
              <a:cs typeface="+mn-cs"/>
            </a:rPr>
            <a:t>If any other fixtures (i.e.. </a:t>
          </a:r>
          <a:r>
            <a:rPr lang="en-US" sz="800">
              <a:solidFill>
                <a:schemeClr val="tx1"/>
              </a:solidFill>
              <a:effectLst/>
              <a:latin typeface="+mn-lt"/>
              <a:ea typeface="+mn-ea"/>
              <a:cs typeface="+mn-cs"/>
            </a:rPr>
            <a:t>Separated bathtub and shower</a:t>
          </a:r>
          <a:r>
            <a:rPr lang="en-US" sz="800" baseline="0">
              <a:solidFill>
                <a:schemeClr val="tx1"/>
              </a:solidFill>
              <a:effectLst/>
              <a:latin typeface="+mn-lt"/>
              <a:ea typeface="+mn-ea"/>
              <a:cs typeface="+mn-cs"/>
            </a:rPr>
            <a:t> areas)</a:t>
          </a:r>
          <a:r>
            <a:rPr lang="en-US" sz="800">
              <a:solidFill>
                <a:sysClr val="windowText" lastClr="000000"/>
              </a:solidFill>
              <a:effectLst/>
              <a:latin typeface="+mn-lt"/>
              <a:ea typeface="+mn-ea"/>
              <a:cs typeface="+mn-cs"/>
            </a:rPr>
            <a:t>, beyond those permitted in circumstances that comply with the definition above, are fed from the piping that leads to a bathroom group, then the fixtures in the bathroom group must be considered individually for determining the fixture unit load.</a:t>
          </a:r>
        </a:p>
      </xdr:txBody>
    </xdr:sp>
    <xdr:clientData/>
  </xdr:twoCellAnchor>
  <xdr:twoCellAnchor editAs="oneCell">
    <xdr:from>
      <xdr:col>10</xdr:col>
      <xdr:colOff>572329</xdr:colOff>
      <xdr:row>0</xdr:row>
      <xdr:rowOff>28575</xdr:rowOff>
    </xdr:from>
    <xdr:to>
      <xdr:col>13</xdr:col>
      <xdr:colOff>200026</xdr:colOff>
      <xdr:row>3</xdr:row>
      <xdr:rowOff>170623</xdr:rowOff>
    </xdr:to>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75218" t="46617" r="7304" b="2552"/>
        <a:stretch/>
      </xdr:blipFill>
      <xdr:spPr>
        <a:xfrm>
          <a:off x="6963604" y="28575"/>
          <a:ext cx="1313622" cy="713548"/>
        </a:xfrm>
        <a:prstGeom prst="rect">
          <a:avLst/>
        </a:prstGeom>
      </xdr:spPr>
    </xdr:pic>
    <xdr:clientData/>
  </xdr:twoCellAnchor>
  <xdr:twoCellAnchor>
    <xdr:from>
      <xdr:col>6</xdr:col>
      <xdr:colOff>0</xdr:colOff>
      <xdr:row>59</xdr:row>
      <xdr:rowOff>152400</xdr:rowOff>
    </xdr:from>
    <xdr:to>
      <xdr:col>6</xdr:col>
      <xdr:colOff>142875</xdr:colOff>
      <xdr:row>64</xdr:row>
      <xdr:rowOff>0</xdr:rowOff>
    </xdr:to>
    <xdr:sp macro="" textlink="">
      <xdr:nvSpPr>
        <xdr:cNvPr id="5" name="Right Brace 4">
          <a:extLst>
            <a:ext uri="{FF2B5EF4-FFF2-40B4-BE49-F238E27FC236}">
              <a16:creationId xmlns:a16="http://schemas.microsoft.com/office/drawing/2014/main" id="{00000000-0008-0000-0000-000005000000}"/>
            </a:ext>
          </a:extLst>
        </xdr:cNvPr>
        <xdr:cNvSpPr/>
      </xdr:nvSpPr>
      <xdr:spPr>
        <a:xfrm>
          <a:off x="3429000" y="9934575"/>
          <a:ext cx="142875" cy="771525"/>
        </a:xfrm>
        <a:prstGeom prst="rightBrace">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oneCellAnchor>
    <xdr:from>
      <xdr:col>6</xdr:col>
      <xdr:colOff>123825</xdr:colOff>
      <xdr:row>60</xdr:row>
      <xdr:rowOff>28575</xdr:rowOff>
    </xdr:from>
    <xdr:ext cx="4956998" cy="405367"/>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571875" y="10458450"/>
          <a:ext cx="4956998" cy="405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solidFill>
                <a:srgbClr val="C00000"/>
              </a:solidFill>
            </a:rPr>
            <a:t>If a fixture isn't included on this list please type in the fixture name in the white box and the</a:t>
          </a:r>
        </a:p>
        <a:p>
          <a:r>
            <a:rPr lang="en-US" sz="1000">
              <a:solidFill>
                <a:srgbClr val="C00000"/>
              </a:solidFill>
            </a:rPr>
            <a:t>total GPM in the blue boxes. </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485775</xdr:colOff>
      <xdr:row>0</xdr:row>
      <xdr:rowOff>171450</xdr:rowOff>
    </xdr:from>
    <xdr:to>
      <xdr:col>13</xdr:col>
      <xdr:colOff>180975</xdr:colOff>
      <xdr:row>15</xdr:row>
      <xdr:rowOff>57150</xdr:rowOff>
    </xdr:to>
    <xdr:graphicFrame macro="">
      <xdr:nvGraphicFramePr>
        <xdr:cNvPr id="2" name="Chart 1">
          <a:extLst>
            <a:ext uri="{FF2B5EF4-FFF2-40B4-BE49-F238E27FC236}">
              <a16:creationId xmlns:a16="http://schemas.microsoft.com/office/drawing/2014/main" id="{F609B3DB-AF90-4E69-AF83-8FEB972C86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59999389629810485"/>
  </sheetPr>
  <dimension ref="A1:R69"/>
  <sheetViews>
    <sheetView tabSelected="1" topLeftCell="A4" zoomScaleNormal="100" zoomScalePageLayoutView="85" workbookViewId="0">
      <selection activeCell="E19" sqref="E19"/>
    </sheetView>
  </sheetViews>
  <sheetFormatPr defaultRowHeight="15" x14ac:dyDescent="0.25"/>
  <cols>
    <col min="1" max="1" width="3" style="52" customWidth="1"/>
    <col min="2" max="2" width="13.140625" style="52" customWidth="1"/>
    <col min="3" max="3" width="11" style="52" customWidth="1"/>
    <col min="4" max="4" width="0.7109375" style="52" customWidth="1"/>
    <col min="5" max="5" width="12.42578125" style="52" customWidth="1"/>
    <col min="6" max="6" width="11.42578125" style="52" customWidth="1"/>
    <col min="7" max="7" width="11.5703125" style="52" customWidth="1"/>
    <col min="8" max="8" width="11.7109375" style="52" customWidth="1"/>
    <col min="9" max="9" width="20.5703125" style="52" customWidth="1"/>
    <col min="10" max="10" width="3.5703125" style="52" customWidth="1"/>
    <col min="11" max="11" width="15.140625" style="52" customWidth="1"/>
    <col min="12" max="12" width="1" style="52" customWidth="1"/>
    <col min="13" max="13" width="9.140625" style="52"/>
    <col min="14" max="14" width="3.42578125" style="52" customWidth="1"/>
    <col min="15" max="16384" width="9.140625" style="52"/>
  </cols>
  <sheetData>
    <row r="1" spans="1:18" x14ac:dyDescent="0.25">
      <c r="A1" s="51"/>
      <c r="B1" s="51"/>
      <c r="C1" s="51"/>
      <c r="D1" s="51"/>
      <c r="E1" s="51"/>
      <c r="F1" s="51"/>
      <c r="G1" s="51"/>
      <c r="H1" s="51"/>
      <c r="I1" s="51"/>
      <c r="J1" s="51"/>
      <c r="K1" s="51"/>
      <c r="L1" s="51"/>
      <c r="M1" s="51"/>
      <c r="N1" s="51"/>
      <c r="P1" s="53"/>
      <c r="Q1" s="53"/>
      <c r="R1" s="53"/>
    </row>
    <row r="2" spans="1:18" x14ac:dyDescent="0.25">
      <c r="A2" s="51"/>
      <c r="B2" s="51"/>
      <c r="C2" s="51"/>
      <c r="D2" s="51"/>
      <c r="E2" s="51"/>
      <c r="F2" s="51"/>
      <c r="G2" s="51"/>
      <c r="H2" s="51"/>
      <c r="I2" s="51"/>
      <c r="J2" s="51"/>
      <c r="K2" s="51"/>
      <c r="L2" s="51"/>
      <c r="M2" s="51"/>
      <c r="N2" s="51"/>
      <c r="P2" s="53"/>
      <c r="Q2" s="53"/>
      <c r="R2" s="53"/>
    </row>
    <row r="3" spans="1:18" x14ac:dyDescent="0.25">
      <c r="A3" s="51"/>
      <c r="B3" s="51"/>
      <c r="C3" s="51"/>
      <c r="D3" s="51"/>
      <c r="E3" s="51"/>
      <c r="F3" s="51"/>
      <c r="G3" s="51"/>
      <c r="H3" s="51"/>
      <c r="I3" s="51"/>
      <c r="J3" s="51"/>
      <c r="K3" s="51"/>
      <c r="L3" s="51"/>
      <c r="M3" s="51"/>
      <c r="N3" s="51"/>
      <c r="P3" s="53"/>
      <c r="Q3" s="53"/>
      <c r="R3" s="53"/>
    </row>
    <row r="4" spans="1:18" x14ac:dyDescent="0.25">
      <c r="A4" s="51"/>
      <c r="B4" s="51"/>
      <c r="C4" s="51"/>
      <c r="D4" s="51"/>
      <c r="E4" s="51"/>
      <c r="F4" s="51"/>
      <c r="G4" s="51"/>
      <c r="H4" s="51"/>
      <c r="I4" s="51"/>
      <c r="J4" s="51"/>
      <c r="K4" s="51"/>
      <c r="L4" s="51"/>
      <c r="M4" s="51"/>
      <c r="N4" s="51"/>
      <c r="P4" s="53"/>
      <c r="Q4" s="53"/>
      <c r="R4" s="53"/>
    </row>
    <row r="5" spans="1:18" ht="21" customHeight="1" x14ac:dyDescent="0.25">
      <c r="A5" s="51"/>
      <c r="B5" s="115" t="s">
        <v>81</v>
      </c>
      <c r="C5" s="115"/>
      <c r="D5" s="115"/>
      <c r="E5" s="115"/>
      <c r="F5" s="115"/>
      <c r="G5" s="115"/>
      <c r="H5" s="115"/>
      <c r="I5" s="115"/>
      <c r="J5" s="115"/>
      <c r="K5" s="115"/>
      <c r="L5" s="115"/>
      <c r="M5" s="115"/>
      <c r="N5" s="115"/>
      <c r="O5" s="54"/>
      <c r="P5" s="55"/>
      <c r="Q5" s="55"/>
      <c r="R5" s="55"/>
    </row>
    <row r="6" spans="1:18" s="57" customFormat="1" ht="12.75" x14ac:dyDescent="0.2">
      <c r="A6" s="56"/>
      <c r="B6" s="56"/>
      <c r="C6" s="56"/>
      <c r="D6" s="56"/>
      <c r="E6" s="56"/>
      <c r="F6" s="56"/>
      <c r="G6" s="56"/>
      <c r="H6" s="56"/>
      <c r="I6" s="56"/>
      <c r="J6" s="56"/>
      <c r="K6" s="56"/>
      <c r="L6" s="56"/>
      <c r="M6" s="56"/>
      <c r="N6" s="56"/>
      <c r="P6" s="58"/>
      <c r="Q6" s="58"/>
      <c r="R6" s="58"/>
    </row>
    <row r="7" spans="1:18" s="57" customFormat="1" ht="15" customHeight="1" x14ac:dyDescent="0.2">
      <c r="A7" s="56"/>
      <c r="B7" s="100" t="s">
        <v>3</v>
      </c>
      <c r="C7" s="100"/>
      <c r="D7" s="112"/>
      <c r="E7" s="112"/>
      <c r="F7" s="112"/>
      <c r="G7" s="112"/>
      <c r="H7" s="112"/>
      <c r="I7" s="59" t="s">
        <v>4</v>
      </c>
      <c r="J7" s="116"/>
      <c r="K7" s="114"/>
      <c r="L7" s="60"/>
      <c r="M7" s="56"/>
      <c r="N7" s="56"/>
      <c r="P7" s="58"/>
      <c r="Q7" s="58"/>
      <c r="R7" s="58"/>
    </row>
    <row r="8" spans="1:18" s="57" customFormat="1" ht="15" customHeight="1" x14ac:dyDescent="0.2">
      <c r="A8" s="56"/>
      <c r="B8" s="100" t="s">
        <v>82</v>
      </c>
      <c r="C8" s="100"/>
      <c r="D8" s="117"/>
      <c r="E8" s="117"/>
      <c r="F8" s="117"/>
      <c r="G8" s="117"/>
      <c r="H8" s="117"/>
      <c r="I8" s="56"/>
      <c r="J8" s="101" t="s">
        <v>77</v>
      </c>
      <c r="K8" s="102"/>
      <c r="L8" s="56"/>
      <c r="M8" s="56"/>
      <c r="N8" s="56"/>
      <c r="P8" s="58"/>
      <c r="Q8" s="58"/>
      <c r="R8" s="58"/>
    </row>
    <row r="9" spans="1:18" s="57" customFormat="1" ht="15" customHeight="1" x14ac:dyDescent="0.2">
      <c r="A9" s="56"/>
      <c r="B9" s="100" t="s">
        <v>0</v>
      </c>
      <c r="C9" s="100"/>
      <c r="D9" s="117"/>
      <c r="E9" s="117"/>
      <c r="F9" s="117"/>
      <c r="G9" s="117"/>
      <c r="H9" s="117"/>
      <c r="I9" s="56"/>
      <c r="J9" s="56"/>
      <c r="K9" s="56"/>
      <c r="L9" s="56"/>
      <c r="M9" s="56"/>
      <c r="N9" s="56"/>
      <c r="P9" s="58"/>
      <c r="Q9" s="58"/>
      <c r="R9" s="58"/>
    </row>
    <row r="10" spans="1:18" s="57" customFormat="1" ht="15" customHeight="1" x14ac:dyDescent="0.2">
      <c r="A10" s="56"/>
      <c r="B10" s="93"/>
      <c r="C10" s="61" t="s">
        <v>83</v>
      </c>
      <c r="D10" s="117"/>
      <c r="E10" s="118"/>
      <c r="F10" s="118"/>
      <c r="G10" s="118"/>
      <c r="H10" s="118"/>
      <c r="I10" s="56"/>
      <c r="J10" s="56"/>
      <c r="K10" s="56"/>
      <c r="L10" s="56"/>
      <c r="M10" s="56"/>
      <c r="N10" s="56"/>
      <c r="P10" s="58"/>
      <c r="Q10" s="58"/>
      <c r="R10" s="58"/>
    </row>
    <row r="11" spans="1:18" s="57" customFormat="1" ht="15" customHeight="1" x14ac:dyDescent="0.2">
      <c r="A11" s="56"/>
      <c r="B11" s="93"/>
      <c r="C11" s="61" t="s">
        <v>66</v>
      </c>
      <c r="D11" s="117"/>
      <c r="E11" s="118"/>
      <c r="F11" s="118"/>
      <c r="G11" s="118"/>
      <c r="H11" s="118"/>
      <c r="I11" s="56"/>
      <c r="J11" s="56"/>
      <c r="K11" s="56"/>
      <c r="L11" s="56"/>
      <c r="M11" s="56"/>
      <c r="N11" s="56"/>
      <c r="P11" s="58"/>
      <c r="Q11" s="58"/>
      <c r="R11" s="58"/>
    </row>
    <row r="12" spans="1:18" s="57" customFormat="1" ht="15" customHeight="1" x14ac:dyDescent="0.2">
      <c r="A12" s="56"/>
      <c r="B12" s="100" t="s">
        <v>1</v>
      </c>
      <c r="C12" s="100"/>
      <c r="D12" s="117"/>
      <c r="E12" s="117"/>
      <c r="F12" s="117"/>
      <c r="G12" s="117"/>
      <c r="H12" s="117"/>
      <c r="I12" s="59" t="s">
        <v>74</v>
      </c>
      <c r="J12" s="112"/>
      <c r="K12" s="113"/>
      <c r="L12" s="114"/>
      <c r="M12" s="114"/>
      <c r="N12" s="56"/>
      <c r="P12" s="58"/>
      <c r="Q12" s="58"/>
      <c r="R12" s="58"/>
    </row>
    <row r="13" spans="1:18" s="57" customFormat="1" ht="12" customHeight="1" x14ac:dyDescent="0.2">
      <c r="A13" s="56"/>
      <c r="B13" s="93"/>
      <c r="C13" s="93"/>
      <c r="D13" s="62"/>
      <c r="E13" s="62"/>
      <c r="F13" s="62"/>
      <c r="G13" s="62"/>
      <c r="H13" s="62"/>
      <c r="I13" s="56"/>
      <c r="J13" s="101" t="s">
        <v>75</v>
      </c>
      <c r="K13" s="101"/>
      <c r="L13" s="101"/>
      <c r="M13" s="101"/>
      <c r="N13" s="56"/>
      <c r="P13" s="58"/>
      <c r="Q13" s="58"/>
      <c r="R13" s="58"/>
    </row>
    <row r="14" spans="1:18" s="57" customFormat="1" ht="15" customHeight="1" x14ac:dyDescent="0.2">
      <c r="A14" s="56"/>
      <c r="B14" s="63" t="s">
        <v>80</v>
      </c>
      <c r="C14" s="64"/>
      <c r="D14" s="65"/>
      <c r="E14" s="65"/>
      <c r="F14" s="66"/>
      <c r="G14" s="66"/>
      <c r="H14" s="66"/>
      <c r="I14" s="56"/>
      <c r="J14" s="56"/>
      <c r="K14" s="56"/>
      <c r="L14" s="56"/>
      <c r="M14" s="56"/>
      <c r="N14" s="56"/>
      <c r="P14" s="58"/>
      <c r="Q14" s="58"/>
      <c r="R14" s="58"/>
    </row>
    <row r="15" spans="1:18" s="57" customFormat="1" ht="8.25" customHeight="1" x14ac:dyDescent="0.2">
      <c r="A15" s="56"/>
      <c r="B15" s="67"/>
      <c r="C15" s="67"/>
      <c r="D15" s="56"/>
      <c r="E15" s="56"/>
      <c r="F15" s="56"/>
      <c r="G15" s="56"/>
      <c r="H15" s="56"/>
      <c r="I15" s="56"/>
      <c r="J15" s="56"/>
      <c r="K15" s="56"/>
      <c r="L15" s="56"/>
      <c r="M15" s="56"/>
      <c r="N15" s="56"/>
      <c r="P15" s="58"/>
      <c r="Q15" s="58"/>
      <c r="R15" s="58"/>
    </row>
    <row r="16" spans="1:18" s="57" customFormat="1" ht="12.75" x14ac:dyDescent="0.2">
      <c r="A16" s="56"/>
      <c r="B16" s="68" t="s">
        <v>2</v>
      </c>
      <c r="C16" s="10"/>
      <c r="D16" s="56"/>
      <c r="E16" s="56"/>
      <c r="F16" s="56"/>
      <c r="G16" s="56"/>
      <c r="H16" s="56"/>
      <c r="I16" s="56"/>
      <c r="J16" s="56"/>
      <c r="K16" s="56"/>
      <c r="L16" s="56"/>
      <c r="M16" s="56"/>
      <c r="N16" s="56"/>
      <c r="P16" s="58"/>
      <c r="Q16" s="58"/>
      <c r="R16" s="58"/>
    </row>
    <row r="17" spans="1:18" s="57" customFormat="1" ht="12.75" x14ac:dyDescent="0.2">
      <c r="A17" s="56"/>
      <c r="B17" s="69"/>
      <c r="C17" s="10"/>
      <c r="D17" s="70" t="s">
        <v>44</v>
      </c>
      <c r="E17" s="71"/>
      <c r="F17" s="56"/>
      <c r="G17" s="56"/>
      <c r="H17" s="56"/>
      <c r="I17" s="56"/>
      <c r="J17" s="56"/>
      <c r="K17" s="56"/>
      <c r="L17" s="56"/>
      <c r="M17" s="56"/>
      <c r="N17" s="56"/>
      <c r="P17" s="58"/>
      <c r="Q17" s="58"/>
      <c r="R17" s="58"/>
    </row>
    <row r="18" spans="1:18" s="57" customFormat="1" ht="8.25" customHeight="1" x14ac:dyDescent="0.2">
      <c r="A18" s="56"/>
      <c r="B18" s="69"/>
      <c r="C18" s="56"/>
      <c r="D18" s="72"/>
      <c r="E18" s="56"/>
      <c r="F18" s="56"/>
      <c r="G18" s="56"/>
      <c r="H18" s="56"/>
      <c r="I18" s="56"/>
      <c r="J18" s="56"/>
      <c r="K18" s="56"/>
      <c r="L18" s="56"/>
      <c r="M18" s="56"/>
      <c r="N18" s="56"/>
      <c r="P18" s="58"/>
      <c r="Q18" s="58"/>
      <c r="R18" s="58"/>
    </row>
    <row r="19" spans="1:18" s="57" customFormat="1" ht="15" customHeight="1" x14ac:dyDescent="0.2">
      <c r="A19" s="56"/>
      <c r="B19" s="68" t="s">
        <v>5</v>
      </c>
      <c r="C19" s="56"/>
      <c r="D19" s="56"/>
      <c r="E19" s="10"/>
      <c r="F19" s="73" t="s">
        <v>76</v>
      </c>
      <c r="G19" s="56"/>
      <c r="H19" s="56"/>
      <c r="I19" s="56"/>
      <c r="J19" s="56"/>
      <c r="K19" s="56"/>
      <c r="L19" s="56"/>
      <c r="M19" s="56"/>
      <c r="N19" s="56"/>
      <c r="P19" s="58"/>
      <c r="Q19" s="58"/>
      <c r="R19" s="58"/>
    </row>
    <row r="20" spans="1:18" x14ac:dyDescent="0.25">
      <c r="A20" s="51"/>
      <c r="B20" s="51"/>
      <c r="C20" s="51"/>
      <c r="D20" s="51"/>
      <c r="E20" s="51"/>
      <c r="F20" s="51"/>
      <c r="G20" s="51"/>
      <c r="H20" s="51"/>
      <c r="I20" s="51"/>
      <c r="J20" s="51"/>
      <c r="K20" s="51"/>
      <c r="L20" s="51"/>
      <c r="M20" s="51"/>
      <c r="N20" s="51"/>
      <c r="P20" s="53"/>
      <c r="Q20" s="53"/>
      <c r="R20" s="53"/>
    </row>
    <row r="21" spans="1:18" x14ac:dyDescent="0.25">
      <c r="A21" s="51"/>
      <c r="B21" s="51"/>
      <c r="C21" s="51"/>
      <c r="D21" s="51"/>
      <c r="E21" s="51"/>
      <c r="F21" s="51"/>
      <c r="G21" s="51"/>
      <c r="H21" s="51"/>
      <c r="I21" s="51"/>
      <c r="J21" s="51"/>
      <c r="K21" s="51"/>
      <c r="L21" s="51"/>
      <c r="M21" s="51"/>
      <c r="N21" s="51"/>
      <c r="P21" s="53"/>
      <c r="Q21" s="53"/>
      <c r="R21" s="53"/>
    </row>
    <row r="22" spans="1:18" x14ac:dyDescent="0.25">
      <c r="A22" s="51"/>
      <c r="B22" s="51"/>
      <c r="C22" s="51"/>
      <c r="D22" s="51"/>
      <c r="E22" s="51"/>
      <c r="F22" s="51"/>
      <c r="G22" s="51"/>
      <c r="H22" s="51"/>
      <c r="I22" s="51"/>
      <c r="J22" s="51"/>
      <c r="K22" s="51"/>
      <c r="L22" s="51"/>
      <c r="M22" s="51"/>
      <c r="N22" s="51"/>
      <c r="P22" s="53"/>
      <c r="Q22" s="53"/>
      <c r="R22" s="53"/>
    </row>
    <row r="23" spans="1:18" x14ac:dyDescent="0.25">
      <c r="A23" s="51"/>
      <c r="B23" s="51"/>
      <c r="C23" s="51"/>
      <c r="D23" s="51"/>
      <c r="E23" s="51"/>
      <c r="F23" s="51"/>
      <c r="G23" s="51"/>
      <c r="H23" s="51"/>
      <c r="I23" s="51"/>
      <c r="J23" s="51"/>
      <c r="K23" s="51"/>
      <c r="L23" s="51"/>
      <c r="M23" s="51"/>
      <c r="N23" s="51"/>
      <c r="P23" s="53"/>
      <c r="Q23" s="53"/>
      <c r="R23" s="53"/>
    </row>
    <row r="24" spans="1:18" x14ac:dyDescent="0.25">
      <c r="A24" s="51"/>
      <c r="B24" s="51"/>
      <c r="C24" s="51"/>
      <c r="D24" s="51"/>
      <c r="E24" s="51"/>
      <c r="F24" s="51"/>
      <c r="G24" s="51"/>
      <c r="H24" s="51"/>
      <c r="I24" s="51"/>
      <c r="J24" s="51"/>
      <c r="K24" s="51"/>
      <c r="L24" s="51"/>
      <c r="M24" s="51"/>
      <c r="N24" s="51"/>
      <c r="P24" s="53"/>
      <c r="Q24" s="53"/>
      <c r="R24" s="53"/>
    </row>
    <row r="25" spans="1:18" x14ac:dyDescent="0.25">
      <c r="A25" s="51"/>
      <c r="B25" s="51"/>
      <c r="C25" s="51"/>
      <c r="D25" s="51"/>
      <c r="E25" s="51"/>
      <c r="F25" s="51"/>
      <c r="G25" s="51"/>
      <c r="H25" s="51"/>
      <c r="I25" s="51"/>
      <c r="J25" s="51"/>
      <c r="K25" s="51"/>
      <c r="L25" s="51"/>
      <c r="M25" s="51"/>
      <c r="N25" s="51"/>
      <c r="P25" s="53"/>
      <c r="Q25" s="53"/>
      <c r="R25" s="53"/>
    </row>
    <row r="26" spans="1:18" x14ac:dyDescent="0.25">
      <c r="A26" s="51"/>
      <c r="B26" s="51"/>
      <c r="C26" s="51"/>
      <c r="D26" s="51"/>
      <c r="E26" s="51"/>
      <c r="F26" s="51"/>
      <c r="G26" s="51"/>
      <c r="H26" s="51"/>
      <c r="I26" s="51"/>
      <c r="J26" s="51"/>
      <c r="K26" s="51"/>
      <c r="L26" s="51"/>
      <c r="M26" s="51"/>
      <c r="N26" s="51"/>
      <c r="P26" s="53"/>
      <c r="Q26" s="53"/>
      <c r="R26" s="53"/>
    </row>
    <row r="27" spans="1:18" x14ac:dyDescent="0.25">
      <c r="A27" s="51"/>
      <c r="B27" s="51"/>
      <c r="C27" s="51"/>
      <c r="D27" s="51"/>
      <c r="E27" s="51"/>
      <c r="F27" s="51"/>
      <c r="G27" s="51"/>
      <c r="H27" s="51"/>
      <c r="I27" s="51"/>
      <c r="J27" s="51"/>
      <c r="K27" s="51"/>
      <c r="L27" s="51"/>
      <c r="M27" s="51"/>
      <c r="N27" s="51"/>
      <c r="P27" s="53"/>
      <c r="Q27" s="53"/>
      <c r="R27" s="53"/>
    </row>
    <row r="28" spans="1:18" x14ac:dyDescent="0.25">
      <c r="A28" s="51"/>
      <c r="B28" s="51"/>
      <c r="C28" s="51"/>
      <c r="D28" s="51"/>
      <c r="E28" s="51"/>
      <c r="F28" s="51"/>
      <c r="G28" s="51"/>
      <c r="H28" s="51"/>
      <c r="I28" s="51"/>
      <c r="J28" s="51"/>
      <c r="K28" s="51"/>
      <c r="L28" s="51"/>
      <c r="M28" s="51"/>
      <c r="N28" s="51"/>
      <c r="P28" s="53"/>
      <c r="Q28" s="53"/>
      <c r="R28" s="53"/>
    </row>
    <row r="29" spans="1:18" x14ac:dyDescent="0.25">
      <c r="A29" s="51"/>
      <c r="B29" s="51"/>
      <c r="C29" s="51"/>
      <c r="D29" s="51"/>
      <c r="E29" s="51"/>
      <c r="F29" s="51"/>
      <c r="G29" s="51"/>
      <c r="H29" s="51"/>
      <c r="I29" s="51"/>
      <c r="J29" s="51"/>
      <c r="K29" s="51"/>
      <c r="L29" s="51"/>
      <c r="M29" s="51"/>
      <c r="N29" s="51"/>
      <c r="P29" s="53"/>
      <c r="Q29" s="53"/>
      <c r="R29" s="53"/>
    </row>
    <row r="30" spans="1:18" x14ac:dyDescent="0.25">
      <c r="A30" s="51"/>
      <c r="B30" s="51"/>
      <c r="C30" s="51"/>
      <c r="D30" s="51"/>
      <c r="E30" s="51"/>
      <c r="F30" s="51"/>
      <c r="G30" s="51"/>
      <c r="H30" s="51"/>
      <c r="I30" s="51"/>
      <c r="J30" s="51"/>
      <c r="K30" s="51"/>
      <c r="L30" s="51"/>
      <c r="M30" s="51"/>
      <c r="N30" s="51"/>
      <c r="P30" s="53"/>
      <c r="Q30" s="53"/>
      <c r="R30" s="53"/>
    </row>
    <row r="31" spans="1:18" x14ac:dyDescent="0.25">
      <c r="A31" s="51"/>
      <c r="B31" s="51"/>
      <c r="C31" s="51"/>
      <c r="D31" s="51"/>
      <c r="E31" s="51"/>
      <c r="F31" s="51"/>
      <c r="G31" s="51"/>
      <c r="H31" s="103" t="str">
        <f>IF(AND(OR(C16="Mutli-family",C16="Mixed Use"),OR(C17=0,C17="")),"Please enter the unit number.", IF(C16="","",IF(E19="","Please select a pressure to continue.",IF(AND(OR(C16="Mutli-family",C16="Mixed Use"),C17&lt;&gt;""), "You are designing a building that may utilize both public and private fixtures, please refer to the definitions for public vs. private utilization when filing in the form.", IF(AND(OR(C16="Mixed Use",C16="Commercial"),SUM(E35:E60)=0),"You are designing a public building please enter fixture values under the public fixture column. (Please refer to the definitions for public vs. private utilization if a private fixture exists in a public building)",IF(AND(OR(C16="Residential",C16="Mutli-family"),SUM(F35:F60)=0),"You are designing a private building please enter fixture values under the private fixture column.","Entry valid. Continuing filing out the form. Please save the form as an Microsoft Excel document and submit it to Denver Water's Water Sales Department. Thank you."))))))</f>
        <v/>
      </c>
      <c r="I31" s="104"/>
      <c r="J31" s="104"/>
      <c r="K31" s="104"/>
      <c r="L31" s="104"/>
      <c r="M31" s="105"/>
      <c r="N31" s="51"/>
      <c r="P31" s="53"/>
      <c r="Q31" s="53"/>
      <c r="R31" s="53"/>
    </row>
    <row r="32" spans="1:18" s="57" customFormat="1" ht="17.25" customHeight="1" x14ac:dyDescent="0.2">
      <c r="A32" s="56"/>
      <c r="B32" s="56"/>
      <c r="C32" s="71"/>
      <c r="D32" s="71"/>
      <c r="E32" s="119" t="s">
        <v>24</v>
      </c>
      <c r="F32" s="119"/>
      <c r="G32" s="74"/>
      <c r="H32" s="106"/>
      <c r="I32" s="107"/>
      <c r="J32" s="107"/>
      <c r="K32" s="107"/>
      <c r="L32" s="107"/>
      <c r="M32" s="108"/>
      <c r="N32" s="56"/>
      <c r="P32" s="58"/>
      <c r="Q32" s="58"/>
      <c r="R32" s="58"/>
    </row>
    <row r="33" spans="1:18" s="57" customFormat="1" ht="12.75" customHeight="1" x14ac:dyDescent="0.2">
      <c r="A33" s="56"/>
      <c r="B33" s="75"/>
      <c r="C33" s="76" t="s">
        <v>7</v>
      </c>
      <c r="D33" s="77"/>
      <c r="E33" s="78" t="s">
        <v>29</v>
      </c>
      <c r="F33" s="78" t="s">
        <v>30</v>
      </c>
      <c r="G33" s="78"/>
      <c r="H33" s="106"/>
      <c r="I33" s="107"/>
      <c r="J33" s="107"/>
      <c r="K33" s="107"/>
      <c r="L33" s="107"/>
      <c r="M33" s="108"/>
      <c r="N33" s="79"/>
      <c r="O33" s="80"/>
      <c r="P33" s="81"/>
      <c r="Q33" s="81"/>
      <c r="R33" s="58"/>
    </row>
    <row r="34" spans="1:18" s="57" customFormat="1" ht="12" customHeight="1" x14ac:dyDescent="0.2">
      <c r="A34" s="56"/>
      <c r="B34" s="75"/>
      <c r="C34" s="82"/>
      <c r="D34" s="75"/>
      <c r="E34" s="83"/>
      <c r="F34" s="75"/>
      <c r="G34" s="75"/>
      <c r="H34" s="109"/>
      <c r="I34" s="110"/>
      <c r="J34" s="110"/>
      <c r="K34" s="110"/>
      <c r="L34" s="110"/>
      <c r="M34" s="111"/>
      <c r="N34" s="79"/>
      <c r="O34" s="80"/>
      <c r="P34" s="81"/>
      <c r="Q34" s="81"/>
      <c r="R34" s="58"/>
    </row>
    <row r="35" spans="1:18" s="57" customFormat="1" ht="12.75" customHeight="1" x14ac:dyDescent="0.25">
      <c r="A35" s="56"/>
      <c r="B35" s="75"/>
      <c r="C35" s="82" t="s">
        <v>8</v>
      </c>
      <c r="D35" s="75"/>
      <c r="E35" s="29"/>
      <c r="F35" s="29"/>
      <c r="G35" s="95" t="s">
        <v>112</v>
      </c>
      <c r="H35" s="84"/>
      <c r="I35" s="84"/>
      <c r="J35" s="84"/>
      <c r="K35" s="84"/>
      <c r="L35" s="84"/>
      <c r="M35" s="84"/>
      <c r="N35" s="79"/>
      <c r="O35" s="80"/>
      <c r="P35" s="81"/>
      <c r="Q35" s="81"/>
      <c r="R35" s="58"/>
    </row>
    <row r="36" spans="1:18" s="57" customFormat="1" ht="12.75" customHeight="1" x14ac:dyDescent="0.25">
      <c r="A36" s="56"/>
      <c r="B36" s="75"/>
      <c r="C36" s="82" t="s">
        <v>9</v>
      </c>
      <c r="D36" s="75"/>
      <c r="E36" s="29"/>
      <c r="F36" s="29"/>
      <c r="G36" s="95" t="s">
        <v>113</v>
      </c>
      <c r="H36" s="85"/>
      <c r="I36" s="85"/>
      <c r="J36" s="85"/>
      <c r="K36" s="85"/>
      <c r="L36" s="85"/>
      <c r="M36" s="85"/>
      <c r="N36" s="75"/>
      <c r="O36" s="86"/>
      <c r="P36" s="87"/>
      <c r="Q36" s="87"/>
      <c r="R36" s="58"/>
    </row>
    <row r="37" spans="1:18" s="57" customFormat="1" ht="12.75" x14ac:dyDescent="0.2">
      <c r="A37" s="56"/>
      <c r="B37" s="75"/>
      <c r="C37" s="82" t="s">
        <v>19</v>
      </c>
      <c r="D37" s="75"/>
      <c r="E37" s="29"/>
      <c r="F37" s="29"/>
      <c r="G37" s="75"/>
      <c r="H37" s="75"/>
      <c r="I37" s="75"/>
      <c r="J37" s="75"/>
      <c r="K37" s="75"/>
      <c r="L37" s="75"/>
      <c r="M37" s="75"/>
      <c r="N37" s="56"/>
      <c r="P37" s="58"/>
      <c r="Q37" s="58"/>
      <c r="R37" s="58"/>
    </row>
    <row r="38" spans="1:18" s="57" customFormat="1" ht="12.75" x14ac:dyDescent="0.2">
      <c r="A38" s="56"/>
      <c r="B38" s="75"/>
      <c r="C38" s="82" t="s">
        <v>79</v>
      </c>
      <c r="D38" s="75"/>
      <c r="E38" s="29"/>
      <c r="F38" s="29"/>
      <c r="G38" s="75"/>
      <c r="H38" s="75"/>
      <c r="I38" s="75"/>
      <c r="J38" s="75"/>
      <c r="K38" s="75"/>
      <c r="L38" s="75"/>
      <c r="M38" s="75"/>
      <c r="N38" s="56"/>
      <c r="P38" s="58"/>
      <c r="Q38" s="58"/>
      <c r="R38" s="58"/>
    </row>
    <row r="39" spans="1:18" s="57" customFormat="1" ht="12.75" x14ac:dyDescent="0.2">
      <c r="A39" s="56"/>
      <c r="B39" s="75"/>
      <c r="C39" s="82" t="s">
        <v>73</v>
      </c>
      <c r="D39" s="75"/>
      <c r="E39" s="29"/>
      <c r="F39" s="29"/>
      <c r="G39" s="75"/>
      <c r="H39" s="75"/>
      <c r="I39" s="75"/>
      <c r="J39" s="75"/>
      <c r="K39" s="75"/>
      <c r="L39" s="75"/>
      <c r="M39" s="75"/>
      <c r="N39" s="56"/>
      <c r="P39" s="58"/>
      <c r="Q39" s="58"/>
      <c r="R39" s="58"/>
    </row>
    <row r="40" spans="1:18" s="57" customFormat="1" ht="12.75" x14ac:dyDescent="0.2">
      <c r="A40" s="56"/>
      <c r="B40" s="75"/>
      <c r="C40" s="82" t="s">
        <v>72</v>
      </c>
      <c r="D40" s="75"/>
      <c r="E40" s="29"/>
      <c r="F40" s="29"/>
      <c r="G40" s="75"/>
      <c r="H40" s="75"/>
      <c r="I40" s="56"/>
      <c r="J40" s="56"/>
      <c r="K40" s="56"/>
      <c r="L40" s="56"/>
      <c r="M40" s="56"/>
      <c r="N40" s="56"/>
      <c r="P40" s="58"/>
      <c r="Q40" s="58"/>
      <c r="R40" s="58"/>
    </row>
    <row r="41" spans="1:18" s="57" customFormat="1" ht="12.75" x14ac:dyDescent="0.2">
      <c r="A41" s="56"/>
      <c r="B41" s="75"/>
      <c r="C41" s="82" t="s">
        <v>18</v>
      </c>
      <c r="D41" s="75"/>
      <c r="E41" s="29"/>
      <c r="F41" s="29"/>
      <c r="G41" s="75"/>
      <c r="H41" s="75"/>
      <c r="I41" s="56"/>
      <c r="J41" s="56"/>
      <c r="K41" s="56"/>
      <c r="L41" s="56"/>
      <c r="M41" s="56"/>
      <c r="N41" s="56"/>
      <c r="P41" s="58"/>
      <c r="Q41" s="58"/>
      <c r="R41" s="58"/>
    </row>
    <row r="42" spans="1:18" s="57" customFormat="1" ht="12.75" x14ac:dyDescent="0.2">
      <c r="A42" s="56"/>
      <c r="B42" s="75"/>
      <c r="C42" s="82" t="s">
        <v>28</v>
      </c>
      <c r="D42" s="75"/>
      <c r="E42" s="29"/>
      <c r="F42" s="29"/>
      <c r="G42" s="75"/>
      <c r="H42" s="75"/>
      <c r="I42" s="56"/>
      <c r="J42" s="56"/>
      <c r="K42" s="56"/>
      <c r="L42" s="56"/>
      <c r="M42" s="56"/>
      <c r="N42" s="56"/>
      <c r="P42" s="58"/>
      <c r="Q42" s="58"/>
      <c r="R42" s="58"/>
    </row>
    <row r="43" spans="1:18" s="57" customFormat="1" ht="12.75" x14ac:dyDescent="0.2">
      <c r="A43" s="56"/>
      <c r="B43" s="75"/>
      <c r="C43" s="82" t="s">
        <v>20</v>
      </c>
      <c r="D43" s="75"/>
      <c r="E43" s="29"/>
      <c r="F43" s="29"/>
      <c r="G43" s="75"/>
      <c r="H43" s="75"/>
      <c r="I43" s="56"/>
      <c r="J43" s="56"/>
      <c r="K43" s="56"/>
      <c r="L43" s="56"/>
      <c r="M43" s="56"/>
      <c r="N43" s="56"/>
      <c r="P43" s="58"/>
      <c r="Q43" s="58"/>
      <c r="R43" s="58"/>
    </row>
    <row r="44" spans="1:18" s="57" customFormat="1" ht="12.75" x14ac:dyDescent="0.2">
      <c r="A44" s="56"/>
      <c r="B44" s="56"/>
      <c r="C44" s="82" t="s">
        <v>21</v>
      </c>
      <c r="D44" s="75"/>
      <c r="E44" s="29"/>
      <c r="F44" s="29"/>
      <c r="G44" s="75"/>
      <c r="H44" s="75"/>
      <c r="I44" s="56"/>
      <c r="J44" s="56"/>
      <c r="K44" s="56"/>
      <c r="L44" s="56"/>
      <c r="M44" s="56"/>
      <c r="N44" s="56"/>
      <c r="P44" s="58"/>
      <c r="Q44" s="58"/>
      <c r="R44" s="58"/>
    </row>
    <row r="45" spans="1:18" s="57" customFormat="1" ht="12.75" x14ac:dyDescent="0.2">
      <c r="A45" s="56"/>
      <c r="B45" s="56"/>
      <c r="C45" s="82" t="s">
        <v>10</v>
      </c>
      <c r="D45" s="75"/>
      <c r="E45" s="33"/>
      <c r="F45" s="29"/>
      <c r="G45" s="75"/>
      <c r="H45" s="75"/>
      <c r="I45" s="56"/>
      <c r="J45" s="56"/>
      <c r="K45" s="56"/>
      <c r="L45" s="56"/>
      <c r="M45" s="56"/>
      <c r="N45" s="56"/>
      <c r="P45" s="58"/>
      <c r="Q45" s="58"/>
      <c r="R45" s="58"/>
    </row>
    <row r="46" spans="1:18" s="57" customFormat="1" ht="12.75" x14ac:dyDescent="0.2">
      <c r="A46" s="56"/>
      <c r="B46" s="75"/>
      <c r="C46" s="82" t="s">
        <v>11</v>
      </c>
      <c r="D46" s="75"/>
      <c r="E46" s="29"/>
      <c r="F46" s="29"/>
      <c r="G46" s="75"/>
      <c r="H46" s="75"/>
      <c r="I46" s="56"/>
      <c r="J46" s="56"/>
      <c r="K46" s="56"/>
      <c r="L46" s="56"/>
      <c r="M46" s="56"/>
      <c r="N46" s="56"/>
      <c r="P46" s="58"/>
      <c r="Q46" s="58"/>
      <c r="R46" s="58"/>
    </row>
    <row r="47" spans="1:18" s="57" customFormat="1" ht="12.75" x14ac:dyDescent="0.2">
      <c r="A47" s="56"/>
      <c r="B47" s="56"/>
      <c r="C47" s="82" t="s">
        <v>22</v>
      </c>
      <c r="D47" s="75"/>
      <c r="E47" s="29"/>
      <c r="F47" s="29"/>
      <c r="G47" s="75"/>
      <c r="H47" s="75"/>
      <c r="I47" s="56"/>
      <c r="J47" s="56"/>
      <c r="K47" s="56"/>
      <c r="L47" s="56"/>
      <c r="M47" s="56"/>
      <c r="N47" s="56"/>
      <c r="P47" s="58"/>
      <c r="Q47" s="58"/>
      <c r="R47" s="58"/>
    </row>
    <row r="48" spans="1:18" s="57" customFormat="1" ht="12.75" x14ac:dyDescent="0.2">
      <c r="A48" s="56"/>
      <c r="B48" s="56"/>
      <c r="C48" s="82" t="s">
        <v>119</v>
      </c>
      <c r="D48" s="75"/>
      <c r="E48" s="29"/>
      <c r="F48" s="29"/>
      <c r="G48" s="75"/>
      <c r="H48" s="75"/>
      <c r="I48" s="56"/>
      <c r="J48" s="56"/>
      <c r="K48" s="56"/>
      <c r="L48" s="56"/>
      <c r="M48" s="56"/>
      <c r="N48" s="56"/>
      <c r="P48" s="58"/>
      <c r="Q48" s="58"/>
      <c r="R48" s="58"/>
    </row>
    <row r="49" spans="1:18" s="57" customFormat="1" ht="12.75" x14ac:dyDescent="0.2">
      <c r="A49" s="56"/>
      <c r="B49" s="56"/>
      <c r="C49" s="82" t="s">
        <v>120</v>
      </c>
      <c r="D49" s="75"/>
      <c r="E49" s="29"/>
      <c r="F49" s="29"/>
      <c r="G49" s="75"/>
      <c r="H49" s="75"/>
      <c r="I49" s="56"/>
      <c r="J49" s="56"/>
      <c r="K49" s="56"/>
      <c r="L49" s="56"/>
      <c r="M49" s="56"/>
      <c r="N49" s="56"/>
      <c r="P49" s="58"/>
      <c r="Q49" s="58"/>
      <c r="R49" s="58"/>
    </row>
    <row r="50" spans="1:18" s="57" customFormat="1" ht="12.75" x14ac:dyDescent="0.2">
      <c r="A50" s="56"/>
      <c r="B50" s="56"/>
      <c r="C50" s="82" t="s">
        <v>121</v>
      </c>
      <c r="D50" s="75"/>
      <c r="E50" s="29"/>
      <c r="F50" s="29"/>
      <c r="G50" s="75"/>
      <c r="H50" s="75"/>
      <c r="I50" s="56"/>
      <c r="J50" s="56"/>
      <c r="K50" s="56"/>
      <c r="L50" s="56"/>
      <c r="M50" s="56"/>
      <c r="N50" s="56"/>
      <c r="P50" s="58"/>
      <c r="Q50" s="58"/>
      <c r="R50" s="58"/>
    </row>
    <row r="51" spans="1:18" s="57" customFormat="1" ht="12.75" x14ac:dyDescent="0.2">
      <c r="A51" s="56"/>
      <c r="B51" s="75"/>
      <c r="C51" s="82" t="s">
        <v>23</v>
      </c>
      <c r="D51" s="75"/>
      <c r="E51" s="29"/>
      <c r="F51" s="29"/>
      <c r="G51" s="75"/>
      <c r="H51" s="75"/>
      <c r="I51" s="56"/>
      <c r="J51" s="56"/>
      <c r="K51" s="56"/>
      <c r="L51" s="56"/>
      <c r="M51" s="56"/>
      <c r="N51" s="56"/>
      <c r="P51" s="58"/>
      <c r="Q51" s="58"/>
      <c r="R51" s="58"/>
    </row>
    <row r="52" spans="1:18" s="57" customFormat="1" ht="12.75" x14ac:dyDescent="0.2">
      <c r="A52" s="56"/>
      <c r="B52" s="75"/>
      <c r="C52" s="88" t="s">
        <v>48</v>
      </c>
      <c r="D52" s="75"/>
      <c r="E52" s="29"/>
      <c r="F52" s="29"/>
      <c r="G52" s="75"/>
      <c r="H52" s="75"/>
      <c r="I52" s="56"/>
      <c r="J52" s="56"/>
      <c r="K52" s="56"/>
      <c r="L52" s="56"/>
      <c r="M52" s="56"/>
      <c r="N52" s="56"/>
      <c r="P52" s="58"/>
      <c r="Q52" s="58"/>
      <c r="R52" s="58"/>
    </row>
    <row r="53" spans="1:18" s="57" customFormat="1" ht="12.75" x14ac:dyDescent="0.2">
      <c r="A53" s="56"/>
      <c r="B53" s="75"/>
      <c r="C53" s="88" t="s">
        <v>47</v>
      </c>
      <c r="D53" s="75"/>
      <c r="E53" s="29"/>
      <c r="F53" s="34"/>
      <c r="G53" s="75"/>
      <c r="H53" s="75"/>
      <c r="I53" s="56"/>
      <c r="J53" s="56"/>
      <c r="K53" s="56"/>
      <c r="L53" s="56"/>
      <c r="M53" s="56"/>
      <c r="N53" s="56"/>
      <c r="P53" s="58"/>
      <c r="Q53" s="58"/>
      <c r="R53" s="58"/>
    </row>
    <row r="54" spans="1:18" s="57" customFormat="1" ht="12.75" x14ac:dyDescent="0.2">
      <c r="A54" s="56"/>
      <c r="B54" s="75"/>
      <c r="C54" s="82" t="s">
        <v>15</v>
      </c>
      <c r="D54" s="75"/>
      <c r="E54" s="33"/>
      <c r="F54" s="29"/>
      <c r="G54" s="75"/>
      <c r="H54" s="56"/>
      <c r="I54" s="56"/>
      <c r="J54" s="56"/>
      <c r="K54" s="56"/>
      <c r="L54" s="56"/>
      <c r="M54" s="56"/>
      <c r="N54" s="56"/>
      <c r="P54" s="58"/>
      <c r="Q54" s="58"/>
      <c r="R54" s="58"/>
    </row>
    <row r="55" spans="1:18" s="57" customFormat="1" ht="12.75" x14ac:dyDescent="0.2">
      <c r="A55" s="56"/>
      <c r="B55" s="56"/>
      <c r="C55" s="89" t="s">
        <v>12</v>
      </c>
      <c r="D55" s="56"/>
      <c r="E55" s="29"/>
      <c r="F55" s="30"/>
      <c r="G55" s="56"/>
      <c r="H55" s="56"/>
      <c r="I55" s="56"/>
      <c r="J55" s="56"/>
      <c r="K55" s="56"/>
      <c r="L55" s="56"/>
      <c r="M55" s="56"/>
      <c r="N55" s="56"/>
      <c r="P55" s="58"/>
      <c r="Q55" s="58"/>
      <c r="R55" s="58"/>
    </row>
    <row r="56" spans="1:18" s="57" customFormat="1" ht="12.75" x14ac:dyDescent="0.2">
      <c r="A56" s="56"/>
      <c r="B56" s="56"/>
      <c r="C56" s="89" t="s">
        <v>13</v>
      </c>
      <c r="D56" s="56"/>
      <c r="E56" s="29"/>
      <c r="F56" s="31"/>
      <c r="G56" s="56"/>
      <c r="H56" s="56"/>
      <c r="I56" s="56"/>
      <c r="J56" s="56"/>
      <c r="K56" s="56"/>
      <c r="L56" s="56"/>
      <c r="M56" s="56"/>
      <c r="N56" s="56"/>
      <c r="P56" s="58"/>
      <c r="Q56" s="58"/>
      <c r="R56" s="58"/>
    </row>
    <row r="57" spans="1:18" s="57" customFormat="1" ht="12.75" x14ac:dyDescent="0.2">
      <c r="A57" s="56"/>
      <c r="B57" s="56"/>
      <c r="C57" s="89" t="s">
        <v>14</v>
      </c>
      <c r="D57" s="56"/>
      <c r="E57" s="29"/>
      <c r="F57" s="32"/>
      <c r="G57" s="56"/>
      <c r="H57" s="56"/>
      <c r="I57" s="56"/>
      <c r="J57" s="56"/>
      <c r="K57" s="56"/>
      <c r="L57" s="56"/>
      <c r="M57" s="56"/>
      <c r="N57" s="56"/>
      <c r="P57" s="58"/>
      <c r="Q57" s="58"/>
      <c r="R57" s="58"/>
    </row>
    <row r="58" spans="1:18" s="57" customFormat="1" ht="12.75" x14ac:dyDescent="0.2">
      <c r="A58" s="56"/>
      <c r="B58" s="56"/>
      <c r="C58" s="89" t="s">
        <v>25</v>
      </c>
      <c r="D58" s="56"/>
      <c r="E58" s="29"/>
      <c r="F58" s="29"/>
      <c r="G58" s="56"/>
      <c r="H58" s="56"/>
      <c r="I58" s="76"/>
      <c r="J58" s="76"/>
      <c r="K58" s="56"/>
      <c r="L58" s="75"/>
      <c r="M58" s="75"/>
      <c r="N58" s="75"/>
      <c r="O58" s="86"/>
      <c r="P58" s="87"/>
      <c r="Q58" s="87"/>
      <c r="R58" s="58"/>
    </row>
    <row r="59" spans="1:18" s="57" customFormat="1" ht="12.75" x14ac:dyDescent="0.2">
      <c r="A59" s="56"/>
      <c r="B59" s="56"/>
      <c r="C59" s="89" t="s">
        <v>26</v>
      </c>
      <c r="D59" s="56"/>
      <c r="E59" s="29"/>
      <c r="F59" s="29"/>
      <c r="G59" s="56"/>
      <c r="H59" s="75"/>
      <c r="I59" s="76"/>
      <c r="J59" s="76"/>
      <c r="K59" s="90"/>
      <c r="L59" s="56"/>
      <c r="M59" s="56"/>
      <c r="N59" s="56"/>
      <c r="P59" s="58"/>
      <c r="Q59" s="58"/>
      <c r="R59" s="58"/>
    </row>
    <row r="60" spans="1:18" s="57" customFormat="1" ht="12.75" x14ac:dyDescent="0.2">
      <c r="A60" s="56"/>
      <c r="B60" s="56"/>
      <c r="C60" s="89" t="s">
        <v>27</v>
      </c>
      <c r="D60" s="56"/>
      <c r="E60" s="29"/>
      <c r="F60" s="29"/>
      <c r="G60" s="56"/>
      <c r="H60" s="75"/>
      <c r="I60" s="76"/>
      <c r="J60" s="76"/>
      <c r="K60" s="91"/>
      <c r="L60" s="56"/>
      <c r="M60" s="56"/>
      <c r="N60" s="56"/>
      <c r="P60" s="58"/>
      <c r="Q60" s="58"/>
      <c r="R60" s="58"/>
    </row>
    <row r="61" spans="1:18" s="57" customFormat="1" ht="12.75" x14ac:dyDescent="0.2">
      <c r="A61" s="56"/>
      <c r="B61" s="120"/>
      <c r="C61" s="121"/>
      <c r="D61" s="56"/>
      <c r="E61" s="97"/>
      <c r="F61" s="97"/>
      <c r="G61" s="56"/>
      <c r="H61" s="56"/>
      <c r="I61" s="56"/>
      <c r="J61" s="56"/>
      <c r="K61" s="56"/>
      <c r="L61" s="56"/>
      <c r="M61" s="56"/>
      <c r="N61" s="56"/>
      <c r="P61" s="58"/>
      <c r="Q61" s="58"/>
      <c r="R61" s="58"/>
    </row>
    <row r="62" spans="1:18" s="57" customFormat="1" ht="12.75" x14ac:dyDescent="0.2">
      <c r="A62" s="56"/>
      <c r="B62" s="120"/>
      <c r="C62" s="121"/>
      <c r="D62" s="56"/>
      <c r="E62" s="97"/>
      <c r="F62" s="97"/>
      <c r="G62" s="56"/>
      <c r="H62" s="56"/>
      <c r="I62" s="56"/>
      <c r="J62" s="56"/>
      <c r="K62" s="56"/>
      <c r="L62" s="56"/>
      <c r="M62" s="56"/>
      <c r="N62" s="56"/>
      <c r="P62" s="58"/>
      <c r="Q62" s="58"/>
      <c r="R62" s="58"/>
    </row>
    <row r="63" spans="1:18" s="57" customFormat="1" ht="12.75" x14ac:dyDescent="0.2">
      <c r="A63" s="56"/>
      <c r="B63" s="120"/>
      <c r="C63" s="121"/>
      <c r="D63" s="56"/>
      <c r="E63" s="97"/>
      <c r="F63" s="97"/>
      <c r="G63" s="56"/>
      <c r="H63" s="56"/>
      <c r="I63" s="56"/>
      <c r="J63" s="56"/>
      <c r="K63" s="56"/>
      <c r="L63" s="56"/>
      <c r="M63" s="56"/>
      <c r="N63" s="56"/>
      <c r="P63" s="58"/>
      <c r="Q63" s="58"/>
      <c r="R63" s="58"/>
    </row>
    <row r="64" spans="1:18" s="57" customFormat="1" ht="12.75" x14ac:dyDescent="0.2">
      <c r="A64" s="56"/>
      <c r="B64" s="120"/>
      <c r="C64" s="121"/>
      <c r="D64" s="56"/>
      <c r="E64" s="97"/>
      <c r="F64" s="97"/>
      <c r="G64" s="56"/>
      <c r="H64" s="56"/>
      <c r="I64" s="56"/>
      <c r="J64" s="56"/>
      <c r="K64" s="56"/>
      <c r="L64" s="56"/>
      <c r="M64" s="56"/>
      <c r="N64" s="56"/>
      <c r="P64" s="58"/>
      <c r="Q64" s="58"/>
      <c r="R64" s="58"/>
    </row>
    <row r="65" spans="1:18" s="57" customFormat="1" ht="12.75" x14ac:dyDescent="0.2">
      <c r="A65" s="56"/>
      <c r="B65" s="92" t="s">
        <v>128</v>
      </c>
      <c r="C65" s="56"/>
      <c r="D65" s="56"/>
      <c r="E65" s="56"/>
      <c r="F65" s="56"/>
      <c r="G65" s="56"/>
      <c r="H65" s="56"/>
      <c r="I65" s="56"/>
      <c r="J65" s="56"/>
      <c r="K65" s="56"/>
      <c r="L65" s="56"/>
      <c r="M65" s="56"/>
      <c r="N65" s="56"/>
      <c r="P65" s="58"/>
      <c r="Q65" s="58"/>
      <c r="R65" s="58"/>
    </row>
    <row r="66" spans="1:18" s="57" customFormat="1" ht="12.75" x14ac:dyDescent="0.2">
      <c r="A66" s="56"/>
      <c r="B66" s="92" t="s">
        <v>127</v>
      </c>
      <c r="C66" s="56"/>
      <c r="D66" s="56"/>
      <c r="E66" s="56"/>
      <c r="F66" s="56"/>
      <c r="G66" s="56"/>
      <c r="H66" s="56"/>
      <c r="I66" s="56"/>
      <c r="J66" s="56"/>
      <c r="K66" s="56"/>
      <c r="L66" s="56"/>
      <c r="M66" s="56"/>
      <c r="N66" s="56"/>
      <c r="P66" s="58"/>
      <c r="Q66" s="58"/>
      <c r="R66" s="58"/>
    </row>
    <row r="67" spans="1:18" s="57" customFormat="1" ht="12.75" x14ac:dyDescent="0.2">
      <c r="A67" s="56"/>
      <c r="B67" s="92" t="s">
        <v>114</v>
      </c>
      <c r="C67" s="56"/>
      <c r="D67" s="56"/>
      <c r="E67" s="56"/>
      <c r="F67" s="56"/>
      <c r="G67" s="56"/>
      <c r="H67" s="56"/>
      <c r="I67" s="56"/>
      <c r="J67" s="56"/>
      <c r="K67" s="56"/>
      <c r="L67" s="56"/>
      <c r="M67" s="56"/>
      <c r="N67" s="56"/>
      <c r="P67" s="58"/>
      <c r="Q67" s="58"/>
      <c r="R67" s="58"/>
    </row>
    <row r="68" spans="1:18" s="57" customFormat="1" ht="12.75" x14ac:dyDescent="0.2">
      <c r="P68" s="58"/>
      <c r="Q68" s="58"/>
      <c r="R68" s="58"/>
    </row>
    <row r="69" spans="1:18" s="57" customFormat="1" ht="12.75" x14ac:dyDescent="0.2">
      <c r="P69" s="58"/>
      <c r="Q69" s="58"/>
      <c r="R69" s="58"/>
    </row>
  </sheetData>
  <sheetProtection algorithmName="SHA-512" hashValue="x+O9IA836WU8WEcYWzR1JFK7n7GPxC4Hx2dQn5rCDDR0Ixj9xnM2NbHrHQYdD6qjJ9cc9AuQmtv8TgoXHzb19A==" saltValue="844Igaw/XsxneLdEX+zQYQ==" spinCount="100000" sheet="1" objects="1" scenarios="1" selectLockedCells="1"/>
  <mergeCells count="21">
    <mergeCell ref="B9:C9"/>
    <mergeCell ref="B61:C61"/>
    <mergeCell ref="B62:C62"/>
    <mergeCell ref="B63:C63"/>
    <mergeCell ref="B64:C64"/>
    <mergeCell ref="B8:C8"/>
    <mergeCell ref="J8:K8"/>
    <mergeCell ref="H31:M34"/>
    <mergeCell ref="J12:M12"/>
    <mergeCell ref="B5:N5"/>
    <mergeCell ref="J13:M13"/>
    <mergeCell ref="J7:K7"/>
    <mergeCell ref="D10:H10"/>
    <mergeCell ref="D11:H11"/>
    <mergeCell ref="E32:F32"/>
    <mergeCell ref="B12:C12"/>
    <mergeCell ref="B7:C7"/>
    <mergeCell ref="D7:H7"/>
    <mergeCell ref="D8:H8"/>
    <mergeCell ref="D9:H9"/>
    <mergeCell ref="D12:H12"/>
  </mergeCells>
  <conditionalFormatting sqref="E35:E44 E55:E60 E46:E53 E61:E64">
    <cfRule type="expression" dxfId="1" priority="2">
      <formula>$C$16="Residential"</formula>
    </cfRule>
  </conditionalFormatting>
  <conditionalFormatting sqref="F55:F57 F53">
    <cfRule type="expression" dxfId="0" priority="1">
      <formula>$C$16="Residential"</formula>
    </cfRule>
  </conditionalFormatting>
  <dataValidations count="1">
    <dataValidation type="list" allowBlank="1" showInputMessage="1" showErrorMessage="1" sqref="C16" xr:uid="{00000000-0002-0000-0000-000000000000}">
      <formula1>"Commercial, Multi-family, Mixed Use, Residential"</formula1>
    </dataValidation>
  </dataValidations>
  <pageMargins left="0.5" right="0.5" top="0.5" bottom="0.5" header="0.3" footer="0.3"/>
  <pageSetup scale="98" orientation="portrait" r:id="rId1"/>
  <headerFooter>
    <oddHeader>&amp;L&amp;G</oddHead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AWWA_Pressure!$A$3:$A$24</xm:f>
          </x14:formula1>
          <xm:sqref>E19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sheetPr>
  <dimension ref="A1:E5"/>
  <sheetViews>
    <sheetView workbookViewId="0">
      <selection activeCell="B3" sqref="B3"/>
    </sheetView>
  </sheetViews>
  <sheetFormatPr defaultRowHeight="15" x14ac:dyDescent="0.25"/>
  <cols>
    <col min="1" max="1" width="30.7109375" bestFit="1" customWidth="1"/>
    <col min="2" max="3" width="10" style="1" bestFit="1" customWidth="1"/>
    <col min="4" max="4" width="9.7109375" style="1" customWidth="1"/>
  </cols>
  <sheetData>
    <row r="1" spans="1:5" ht="15" customHeight="1" x14ac:dyDescent="0.25">
      <c r="B1" s="122" t="s">
        <v>61</v>
      </c>
      <c r="C1" s="122"/>
      <c r="D1" s="122"/>
      <c r="E1" s="122"/>
    </row>
    <row r="2" spans="1:5" x14ac:dyDescent="0.25">
      <c r="A2" s="39"/>
      <c r="B2" s="1" t="s">
        <v>64</v>
      </c>
      <c r="C2" s="1" t="s">
        <v>65</v>
      </c>
      <c r="D2" s="1" t="s">
        <v>57</v>
      </c>
      <c r="E2" s="1" t="s">
        <v>123</v>
      </c>
    </row>
    <row r="3" spans="1:5" x14ac:dyDescent="0.25">
      <c r="A3" s="40" t="s">
        <v>43</v>
      </c>
      <c r="B3" s="41" t="e">
        <f>AWWA_Calculation04!G37</f>
        <v>#VALUE!</v>
      </c>
      <c r="C3" s="41" t="e">
        <f>AWWA_Calculation14!G36</f>
        <v>#VALUE!</v>
      </c>
      <c r="D3" s="41">
        <f>IPC_Calculation!H36</f>
        <v>1.863772</v>
      </c>
      <c r="E3" s="96">
        <f>UPC_Calculation!H36</f>
        <v>1.863772</v>
      </c>
    </row>
    <row r="4" spans="1:5" x14ac:dyDescent="0.25">
      <c r="A4" s="40" t="s">
        <v>62</v>
      </c>
      <c r="B4" s="4" t="e">
        <f>AWWA_Calculation04!G38</f>
        <v>#VALUE!</v>
      </c>
      <c r="C4" s="4" t="e">
        <f>AWWA_Calculation14!G37</f>
        <v>#VALUE!</v>
      </c>
      <c r="D4" s="4">
        <f>IPC_Calculation!H37</f>
        <v>0.75</v>
      </c>
      <c r="E4" s="2">
        <f>UPC_Calculation!H37</f>
        <v>0.75</v>
      </c>
    </row>
    <row r="5" spans="1:5" x14ac:dyDescent="0.25">
      <c r="A5" s="40" t="s">
        <v>60</v>
      </c>
      <c r="B5" s="41" t="e">
        <f>AWWA_Calculation04!G39</f>
        <v>#VALUE!</v>
      </c>
      <c r="C5" s="41" t="e">
        <f>AWWA_Calculation14!G38</f>
        <v>#VALUE!</v>
      </c>
      <c r="D5" s="41">
        <f>IPC_Calculation!H38</f>
        <v>1.354185870185987</v>
      </c>
      <c r="E5" s="96">
        <f>UPC_Calculation!H43</f>
        <v>1.354185870185987</v>
      </c>
    </row>
  </sheetData>
  <mergeCells count="1">
    <mergeCell ref="B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sheetPr>
  <dimension ref="A1:AC2"/>
  <sheetViews>
    <sheetView topLeftCell="R1" workbookViewId="0">
      <selection activeCell="B3" sqref="B3"/>
    </sheetView>
  </sheetViews>
  <sheetFormatPr defaultRowHeight="15" x14ac:dyDescent="0.25"/>
  <cols>
    <col min="1" max="1" width="8.7109375" bestFit="1" customWidth="1"/>
    <col min="2" max="2" width="9.5703125" bestFit="1" customWidth="1"/>
    <col min="3" max="3" width="13.140625" bestFit="1" customWidth="1"/>
    <col min="4" max="4" width="15.28515625" bestFit="1" customWidth="1"/>
    <col min="5" max="5" width="15.7109375" bestFit="1" customWidth="1"/>
    <col min="6" max="6" width="14.85546875" bestFit="1" customWidth="1"/>
    <col min="7" max="7" width="15.140625" bestFit="1" customWidth="1"/>
    <col min="8" max="8" width="9.42578125" bestFit="1" customWidth="1"/>
    <col min="9" max="9" width="12.42578125" bestFit="1" customWidth="1"/>
    <col min="10" max="10" width="5.5703125" bestFit="1" customWidth="1"/>
    <col min="11" max="11" width="8.7109375" bestFit="1" customWidth="1"/>
    <col min="12" max="12" width="16.5703125" bestFit="1" customWidth="1"/>
    <col min="13" max="13" width="14" bestFit="1" customWidth="1"/>
    <col min="14" max="14" width="14.85546875" bestFit="1" customWidth="1"/>
    <col min="15" max="15" width="20.140625" bestFit="1" customWidth="1"/>
    <col min="16" max="16" width="10" bestFit="1" customWidth="1"/>
    <col min="17" max="17" width="15.7109375" bestFit="1" customWidth="1"/>
    <col min="18" max="18" width="18" bestFit="1" customWidth="1"/>
    <col min="19" max="19" width="14" bestFit="1" customWidth="1"/>
    <col min="20" max="20" width="17.85546875" bestFit="1" customWidth="1"/>
    <col min="21" max="21" width="18" bestFit="1" customWidth="1"/>
    <col min="22" max="22" width="14" bestFit="1" customWidth="1"/>
    <col min="23" max="23" width="17.85546875" bestFit="1" customWidth="1"/>
    <col min="24" max="24" width="12.28515625" bestFit="1" customWidth="1"/>
    <col min="25" max="25" width="8.42578125" bestFit="1" customWidth="1"/>
    <col min="26" max="26" width="12.140625" bestFit="1" customWidth="1"/>
    <col min="27" max="27" width="13.28515625" bestFit="1" customWidth="1"/>
    <col min="28" max="28" width="9.28515625" bestFit="1" customWidth="1"/>
    <col min="29" max="29" width="13.140625" bestFit="1" customWidth="1"/>
  </cols>
  <sheetData>
    <row r="1" spans="1:29" x14ac:dyDescent="0.25">
      <c r="A1" s="48" t="s">
        <v>92</v>
      </c>
      <c r="B1" s="48" t="s">
        <v>87</v>
      </c>
      <c r="C1" s="48" t="s">
        <v>88</v>
      </c>
      <c r="D1" s="48" t="s">
        <v>89</v>
      </c>
      <c r="E1" s="48" t="s">
        <v>90</v>
      </c>
      <c r="F1" s="48" t="s">
        <v>94</v>
      </c>
      <c r="G1" s="48" t="s">
        <v>91</v>
      </c>
      <c r="H1" s="48" t="s">
        <v>93</v>
      </c>
      <c r="I1" s="48" t="s">
        <v>95</v>
      </c>
      <c r="J1" s="48" t="s">
        <v>37</v>
      </c>
      <c r="K1" s="48" t="s">
        <v>96</v>
      </c>
      <c r="L1" s="48" t="s">
        <v>99</v>
      </c>
      <c r="M1" s="48" t="s">
        <v>100</v>
      </c>
      <c r="N1" s="48" t="s">
        <v>101</v>
      </c>
      <c r="O1" s="48" t="s">
        <v>102</v>
      </c>
      <c r="P1" s="48" t="s">
        <v>97</v>
      </c>
      <c r="Q1" s="48" t="s">
        <v>98</v>
      </c>
      <c r="R1" s="48" t="s">
        <v>103</v>
      </c>
      <c r="S1" s="48" t="s">
        <v>104</v>
      </c>
      <c r="T1" s="48" t="s">
        <v>105</v>
      </c>
      <c r="U1" s="48" t="s">
        <v>106</v>
      </c>
      <c r="V1" s="48" t="s">
        <v>107</v>
      </c>
      <c r="W1" s="48" t="s">
        <v>108</v>
      </c>
      <c r="X1" s="48" t="s">
        <v>109</v>
      </c>
      <c r="Y1" s="48" t="s">
        <v>110</v>
      </c>
      <c r="Z1" s="48" t="s">
        <v>111</v>
      </c>
      <c r="AA1" s="48" t="s">
        <v>124</v>
      </c>
      <c r="AB1" s="48" t="s">
        <v>125</v>
      </c>
      <c r="AC1" s="48" t="s">
        <v>126</v>
      </c>
    </row>
    <row r="2" spans="1:29" x14ac:dyDescent="0.25">
      <c r="A2" s="50">
        <f>'Customer Input'!J7</f>
        <v>0</v>
      </c>
      <c r="B2">
        <f>'Customer Input'!D7</f>
        <v>0</v>
      </c>
      <c r="C2">
        <f>'Customer Input'!D8</f>
        <v>0</v>
      </c>
      <c r="D2">
        <f>'Customer Input'!D9</f>
        <v>0</v>
      </c>
      <c r="E2">
        <f>'Customer Input'!D10</f>
        <v>0</v>
      </c>
      <c r="F2">
        <f>'Customer Input'!D11</f>
        <v>0</v>
      </c>
      <c r="G2">
        <f>'Customer Input'!D12</f>
        <v>0</v>
      </c>
      <c r="H2">
        <f>'Customer Input'!J12</f>
        <v>0</v>
      </c>
      <c r="I2">
        <f>'Customer Input'!C16</f>
        <v>0</v>
      </c>
      <c r="J2">
        <f>'Customer Input'!C17</f>
        <v>0</v>
      </c>
      <c r="K2">
        <f>'Customer Input'!E19</f>
        <v>0</v>
      </c>
      <c r="L2">
        <f>IPC_Calculation!L8</f>
        <v>0</v>
      </c>
      <c r="M2">
        <f>SUM('Customer Input'!E35:F35)</f>
        <v>0</v>
      </c>
      <c r="N2">
        <f>SUM('Customer Input'!E36:F36)</f>
        <v>0</v>
      </c>
      <c r="O2">
        <f>SUM('Customer Input'!E37:F37)</f>
        <v>0</v>
      </c>
      <c r="P2">
        <f>SUM('Customer Input'!E41:F41)</f>
        <v>0</v>
      </c>
      <c r="Q2">
        <f>SUM('Customer Input'!E38:F40)</f>
        <v>0</v>
      </c>
      <c r="R2" s="23" t="e">
        <f>AWWAvsIPCvsUPC!B3</f>
        <v>#VALUE!</v>
      </c>
      <c r="S2" t="e">
        <f>AWWAvsIPCvsUPC!B4</f>
        <v>#VALUE!</v>
      </c>
      <c r="T2" s="23" t="e">
        <f>AWWAvsIPCvsUPC!B5</f>
        <v>#VALUE!</v>
      </c>
      <c r="U2" s="23" t="e">
        <f>AWWAvsIPCvsUPC!C3</f>
        <v>#VALUE!</v>
      </c>
      <c r="V2" t="e">
        <f>AWWAvsIPCvsUPC!C4</f>
        <v>#VALUE!</v>
      </c>
      <c r="W2" s="23" t="e">
        <f>AWWAvsIPCvsUPC!C5</f>
        <v>#VALUE!</v>
      </c>
      <c r="X2" s="23">
        <f>AWWAvsIPCvsUPC!D3</f>
        <v>1.863772</v>
      </c>
      <c r="Y2">
        <f>AWWAvsIPCvsUPC!D4</f>
        <v>0.75</v>
      </c>
      <c r="Z2" s="23">
        <f>AWWAvsIPCvsUPC!D5</f>
        <v>1.354185870185987</v>
      </c>
      <c r="AA2">
        <f>AWWAvsIPCvsUPC!E3</f>
        <v>1.863772</v>
      </c>
      <c r="AB2">
        <f>AWWAvsIPCvsUPC!E4</f>
        <v>0.75</v>
      </c>
      <c r="AC2">
        <f>AWWAvsIPCvsUPC!E5</f>
        <v>1.354185870185987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sheetPr>
  <dimension ref="A1:H39"/>
  <sheetViews>
    <sheetView zoomScale="85" zoomScaleNormal="85" workbookViewId="0">
      <selection activeCell="F28" sqref="F28"/>
    </sheetView>
  </sheetViews>
  <sheetFormatPr defaultRowHeight="15" x14ac:dyDescent="0.25"/>
  <cols>
    <col min="1" max="1" width="28.85546875" style="9" bestFit="1" customWidth="1"/>
    <col min="2" max="2" width="22.28515625" style="9" bestFit="1" customWidth="1"/>
    <col min="3" max="3" width="18.42578125" style="9" bestFit="1" customWidth="1"/>
    <col min="4" max="4" width="11.140625" style="9" bestFit="1" customWidth="1"/>
    <col min="5" max="5" width="4.5703125" customWidth="1"/>
    <col min="6" max="6" width="44.140625" style="8" bestFit="1" customWidth="1"/>
    <col min="7" max="7" width="12" bestFit="1" customWidth="1"/>
    <col min="8" max="8" width="9.5703125" bestFit="1" customWidth="1"/>
  </cols>
  <sheetData>
    <row r="1" spans="1:4" x14ac:dyDescent="0.25">
      <c r="A1" s="15" t="s">
        <v>7</v>
      </c>
      <c r="B1" s="16" t="s">
        <v>31</v>
      </c>
      <c r="C1" s="16" t="s">
        <v>24</v>
      </c>
      <c r="D1" s="16" t="s">
        <v>32</v>
      </c>
    </row>
    <row r="2" spans="1:4" x14ac:dyDescent="0.25">
      <c r="A2" s="14" t="s">
        <v>8</v>
      </c>
      <c r="B2" s="12">
        <v>4</v>
      </c>
      <c r="C2" s="12">
        <f>SUM('Customer Input'!E35:F35)</f>
        <v>0</v>
      </c>
      <c r="D2" s="13">
        <f>B2*C2</f>
        <v>0</v>
      </c>
    </row>
    <row r="3" spans="1:4" x14ac:dyDescent="0.25">
      <c r="A3" s="14" t="s">
        <v>9</v>
      </c>
      <c r="B3" s="12">
        <v>35</v>
      </c>
      <c r="C3" s="12">
        <f>SUM('Customer Input'!E36:F36)</f>
        <v>0</v>
      </c>
      <c r="D3" s="13">
        <f t="shared" ref="D3:D24" si="0">B3*C3</f>
        <v>0</v>
      </c>
    </row>
    <row r="4" spans="1:4" x14ac:dyDescent="0.25">
      <c r="A4" s="14" t="s">
        <v>19</v>
      </c>
      <c r="B4" s="12">
        <v>4</v>
      </c>
      <c r="C4" s="12">
        <f>SUM('Customer Input'!E37:F37)</f>
        <v>0</v>
      </c>
      <c r="D4" s="13">
        <f t="shared" si="0"/>
        <v>0</v>
      </c>
    </row>
    <row r="5" spans="1:4" x14ac:dyDescent="0.25">
      <c r="A5" s="19" t="s">
        <v>79</v>
      </c>
      <c r="B5" s="12">
        <v>8</v>
      </c>
      <c r="C5" s="12">
        <f>SUM('Customer Input'!E38:F38)</f>
        <v>0</v>
      </c>
      <c r="D5" s="13">
        <f t="shared" si="0"/>
        <v>0</v>
      </c>
    </row>
    <row r="6" spans="1:4" x14ac:dyDescent="0.25">
      <c r="A6" s="19" t="s">
        <v>73</v>
      </c>
      <c r="B6" s="12">
        <v>8</v>
      </c>
      <c r="C6" s="12">
        <f>SUM('Customer Input'!E39:F39)</f>
        <v>0</v>
      </c>
      <c r="D6" s="13">
        <f t="shared" si="0"/>
        <v>0</v>
      </c>
    </row>
    <row r="7" spans="1:4" x14ac:dyDescent="0.25">
      <c r="A7" s="19" t="s">
        <v>72</v>
      </c>
      <c r="B7" s="12">
        <v>2.5</v>
      </c>
      <c r="C7" s="12">
        <f>SUM('Customer Input'!E40:F40)</f>
        <v>0</v>
      </c>
      <c r="D7" s="13">
        <f t="shared" si="0"/>
        <v>0</v>
      </c>
    </row>
    <row r="8" spans="1:4" x14ac:dyDescent="0.25">
      <c r="A8" s="14" t="s">
        <v>18</v>
      </c>
      <c r="B8" s="12">
        <v>1.5</v>
      </c>
      <c r="C8" s="12">
        <f>SUM('Customer Input'!E41:F41)</f>
        <v>0</v>
      </c>
      <c r="D8" s="13">
        <f t="shared" si="0"/>
        <v>0</v>
      </c>
    </row>
    <row r="9" spans="1:4" x14ac:dyDescent="0.25">
      <c r="A9" s="14" t="s">
        <v>28</v>
      </c>
      <c r="B9" s="12">
        <v>16</v>
      </c>
      <c r="C9" s="12">
        <f>SUM('Customer Input'!E42:F42)</f>
        <v>0</v>
      </c>
      <c r="D9" s="13">
        <f t="shared" si="0"/>
        <v>0</v>
      </c>
    </row>
    <row r="10" spans="1:4" x14ac:dyDescent="0.25">
      <c r="A10" s="14" t="s">
        <v>20</v>
      </c>
      <c r="B10" s="12">
        <v>35</v>
      </c>
      <c r="C10" s="12">
        <f>SUM('Customer Input'!E43:F43)</f>
        <v>0</v>
      </c>
      <c r="D10" s="13">
        <f t="shared" si="0"/>
        <v>0</v>
      </c>
    </row>
    <row r="11" spans="1:4" x14ac:dyDescent="0.25">
      <c r="A11" s="14" t="s">
        <v>21</v>
      </c>
      <c r="B11" s="12">
        <v>35</v>
      </c>
      <c r="C11" s="12">
        <f>SUM('Customer Input'!E44:F44)</f>
        <v>0</v>
      </c>
      <c r="D11" s="13">
        <f t="shared" si="0"/>
        <v>0</v>
      </c>
    </row>
    <row r="12" spans="1:4" x14ac:dyDescent="0.25">
      <c r="A12" s="14" t="s">
        <v>10</v>
      </c>
      <c r="B12" s="12">
        <v>2</v>
      </c>
      <c r="C12" s="12">
        <f>SUM('Customer Input'!E45:F45)</f>
        <v>0</v>
      </c>
      <c r="D12" s="13">
        <f t="shared" si="0"/>
        <v>0</v>
      </c>
    </row>
    <row r="13" spans="1:4" x14ac:dyDescent="0.25">
      <c r="A13" s="14" t="s">
        <v>11</v>
      </c>
      <c r="B13" s="12">
        <v>2.2000000000000002</v>
      </c>
      <c r="C13" s="12">
        <f>SUM('Customer Input'!E46:F46)</f>
        <v>0</v>
      </c>
      <c r="D13" s="13">
        <f t="shared" si="0"/>
        <v>0</v>
      </c>
    </row>
    <row r="14" spans="1:4" x14ac:dyDescent="0.25">
      <c r="A14" s="14" t="s">
        <v>22</v>
      </c>
      <c r="B14" s="12">
        <v>4</v>
      </c>
      <c r="C14" s="12">
        <f>SUM('Customer Input'!E47:F50)</f>
        <v>0</v>
      </c>
      <c r="D14" s="13">
        <f t="shared" si="0"/>
        <v>0</v>
      </c>
    </row>
    <row r="15" spans="1:4" x14ac:dyDescent="0.25">
      <c r="A15" s="14" t="s">
        <v>23</v>
      </c>
      <c r="B15" s="12">
        <v>2</v>
      </c>
      <c r="C15" s="12">
        <f>SUM('Customer Input'!E51:F51)</f>
        <v>0</v>
      </c>
      <c r="D15" s="13">
        <f t="shared" si="0"/>
        <v>0</v>
      </c>
    </row>
    <row r="16" spans="1:4" x14ac:dyDescent="0.25">
      <c r="A16" s="14" t="s">
        <v>16</v>
      </c>
      <c r="B16" s="12">
        <v>6</v>
      </c>
      <c r="C16" s="12">
        <f>SUM('Customer Input'!E52:F52)</f>
        <v>0</v>
      </c>
      <c r="D16" s="13">
        <f t="shared" si="0"/>
        <v>0</v>
      </c>
    </row>
    <row r="17" spans="1:7" x14ac:dyDescent="0.25">
      <c r="A17" s="14" t="s">
        <v>17</v>
      </c>
      <c r="B17" s="12">
        <v>6</v>
      </c>
      <c r="C17" s="12">
        <f>SUM('Customer Input'!E53:F53)</f>
        <v>0</v>
      </c>
      <c r="D17" s="13">
        <f t="shared" si="0"/>
        <v>0</v>
      </c>
    </row>
    <row r="18" spans="1:7" x14ac:dyDescent="0.25">
      <c r="A18" s="14" t="s">
        <v>15</v>
      </c>
      <c r="B18" s="43">
        <v>2.2000000000000002</v>
      </c>
      <c r="C18" s="12">
        <f>SUM('Customer Input'!E54:F54)</f>
        <v>0</v>
      </c>
      <c r="D18" s="13">
        <f t="shared" si="0"/>
        <v>0</v>
      </c>
    </row>
    <row r="19" spans="1:7" x14ac:dyDescent="0.25">
      <c r="A19" s="14" t="s">
        <v>12</v>
      </c>
      <c r="B19" s="12">
        <v>10</v>
      </c>
      <c r="C19" s="12">
        <f>SUM('Customer Input'!E55:F55)</f>
        <v>0</v>
      </c>
      <c r="D19" s="13">
        <f t="shared" si="0"/>
        <v>0</v>
      </c>
    </row>
    <row r="20" spans="1:7" x14ac:dyDescent="0.25">
      <c r="A20" s="14" t="s">
        <v>13</v>
      </c>
      <c r="B20" s="12">
        <v>2</v>
      </c>
      <c r="C20" s="12">
        <f>SUM('Customer Input'!E56:F56)</f>
        <v>0</v>
      </c>
      <c r="D20" s="13">
        <f t="shared" si="0"/>
        <v>0</v>
      </c>
    </row>
    <row r="21" spans="1:7" x14ac:dyDescent="0.25">
      <c r="A21" s="14" t="s">
        <v>14</v>
      </c>
      <c r="B21" s="12">
        <v>2</v>
      </c>
      <c r="C21" s="12">
        <f>SUM('Customer Input'!E57:F57)</f>
        <v>0</v>
      </c>
      <c r="D21" s="13">
        <f t="shared" si="0"/>
        <v>0</v>
      </c>
    </row>
    <row r="22" spans="1:7" x14ac:dyDescent="0.25">
      <c r="A22" s="14" t="s">
        <v>25</v>
      </c>
      <c r="B22" s="12">
        <v>5</v>
      </c>
      <c r="C22" s="12">
        <f>SUM('Customer Input'!E58:F58)</f>
        <v>0</v>
      </c>
      <c r="D22" s="13">
        <f t="shared" si="0"/>
        <v>0</v>
      </c>
    </row>
    <row r="23" spans="1:7" x14ac:dyDescent="0.25">
      <c r="A23" s="14" t="s">
        <v>26</v>
      </c>
      <c r="B23" s="12">
        <v>9</v>
      </c>
      <c r="C23" s="12">
        <f>SUM('Customer Input'!E59:F59)</f>
        <v>0</v>
      </c>
      <c r="D23" s="13">
        <f t="shared" si="0"/>
        <v>0</v>
      </c>
    </row>
    <row r="24" spans="1:7" x14ac:dyDescent="0.25">
      <c r="A24" s="14" t="s">
        <v>27</v>
      </c>
      <c r="B24" s="12">
        <v>12</v>
      </c>
      <c r="C24" s="12">
        <f>SUM('Customer Input'!E60:F60)</f>
        <v>0</v>
      </c>
      <c r="D24" s="13">
        <f t="shared" si="0"/>
        <v>0</v>
      </c>
    </row>
    <row r="25" spans="1:7" x14ac:dyDescent="0.25">
      <c r="C25" s="14" t="s">
        <v>33</v>
      </c>
      <c r="D25" s="13">
        <f>SUM(D2:D24)+SUM('Customer Input'!E61:F64)</f>
        <v>0</v>
      </c>
      <c r="F25" s="18" t="s">
        <v>132</v>
      </c>
      <c r="G25" s="17" t="str">
        <f>IF(D25=0,"Please enter fixture value",IF(D25&lt;=19,(-0.03*(D25^2))+(1.5*D25)+0.000000000000006153,IF(AND(D25&gt;19,D25&lt;1050),(-0.00003373*(D25^2))+(0.07799*D25)+16.12,IF(AND(D25&gt;=1050,D25&lt;1200),(1.219E-18*(D25^2))+(0.02*D25)+ 40,IF(AND(D25&gt;=1200,D25&lt;=2000), -0.000004*(D25^2) + 0.0175*(D25) + 49.286,IF(D25&gt;2000,(D25*0.0067)+57.432,"Please enter a valid number"))))))</f>
        <v>Please enter fixture value</v>
      </c>
    </row>
    <row r="26" spans="1:7" x14ac:dyDescent="0.25">
      <c r="F26" s="18" t="s">
        <v>133</v>
      </c>
      <c r="G26" s="17" t="str">
        <f>IF(D25="","Please enter fixture value", IF(D25&lt;25,"This fixture value should be above 25",IF(AND(D25&gt;=25,D25&lt;=1300),(-0.00003429*(D25^2))+ (0.1172*D25) +  38.34,IF(AND(D25&gt;1300,D25&lt;=2000),(-0.00002857 *(D25^2))+ (0.115*D25) +  31.79,IF(D25&gt;2000,(-0.000000002936*(D25^2))+ (0.006716 *D25) + 137.4, "Please enter a valid number")))))</f>
        <v>This fixture value should be above 25</v>
      </c>
    </row>
    <row r="27" spans="1:7" x14ac:dyDescent="0.25">
      <c r="F27" s="19" t="s">
        <v>41</v>
      </c>
      <c r="G27" s="20">
        <f>'Customer Input'!E19</f>
        <v>0</v>
      </c>
    </row>
    <row r="28" spans="1:7" x14ac:dyDescent="0.25">
      <c r="B28" s="11"/>
      <c r="F28" s="19" t="s">
        <v>34</v>
      </c>
      <c r="G28" s="99" t="e">
        <f>VLOOKUP(G27,AWWA_Pressure!A3:B24,2,FALSE)</f>
        <v>#N/A</v>
      </c>
    </row>
    <row r="29" spans="1:7" x14ac:dyDescent="0.25">
      <c r="B29" s="11"/>
      <c r="F29" s="19" t="s">
        <v>35</v>
      </c>
      <c r="G29" s="21">
        <f>'Customer Input'!C16</f>
        <v>0</v>
      </c>
    </row>
    <row r="30" spans="1:7" x14ac:dyDescent="0.25">
      <c r="B30" s="11"/>
      <c r="F30" s="19" t="s">
        <v>63</v>
      </c>
      <c r="G30" s="21" t="str">
        <f>IF(OR(((C2+C4+C9)&gt;(C3+C11+C10)),(C2+C4+C3+C9+C10+C11=0)),"Tank","Valve")</f>
        <v>Tank</v>
      </c>
    </row>
    <row r="31" spans="1:7" x14ac:dyDescent="0.25">
      <c r="B31" s="11"/>
      <c r="F31" s="19" t="s">
        <v>36</v>
      </c>
      <c r="G31" s="21">
        <f>'Customer Input'!C17</f>
        <v>0</v>
      </c>
    </row>
    <row r="32" spans="1:7" x14ac:dyDescent="0.25">
      <c r="A32" s="38"/>
      <c r="B32" s="23"/>
      <c r="C32"/>
      <c r="D32" s="37"/>
    </row>
    <row r="33" spans="1:8" x14ac:dyDescent="0.25">
      <c r="A33" s="38" t="s">
        <v>58</v>
      </c>
      <c r="B33" s="42" t="e">
        <f>G37*0.002228</f>
        <v>#VALUE!</v>
      </c>
      <c r="C33"/>
      <c r="F33" s="19" t="s">
        <v>42</v>
      </c>
      <c r="G33" s="22" t="e">
        <f>IF(G30="Tank",(G25*G28),(G26*G28))</f>
        <v>#VALUE!</v>
      </c>
      <c r="H33" s="23"/>
    </row>
    <row r="34" spans="1:8" x14ac:dyDescent="0.25">
      <c r="A34" s="38" t="s">
        <v>59</v>
      </c>
      <c r="B34" t="e">
        <f>(G38^2)*3.14/4/144</f>
        <v>#VALUE!</v>
      </c>
      <c r="F34" s="3" t="s">
        <v>40</v>
      </c>
      <c r="G34" s="24" t="e">
        <f>IF(G33&lt;=Domestic_Sizing!A2,Domestic_Sizing!B2,IF(AND(AWWA_Calculation04!G33&gt;Domestic_Sizing!A2,AWWA_Calculation04!G33&lt;=Domestic_Sizing!A3),Domestic_Sizing!B3,IF(AND(AWWA_Calculation04!G33&gt;Domestic_Sizing!A3,AWWA_Calculation04!G33&lt;=Domestic_Sizing!A4),Domestic_Sizing!B4,IF(AND(AWWA_Calculation04!G33&gt;Domestic_Sizing!A4,AWWA_Calculation04!G33&lt;=Domestic_Sizing!A5),Domestic_Sizing!B5,IF(AND(AWWA_Calculation04!G33&gt;Domestic_Sizing!A5,AWWA_Calculation04!G33&lt;=Domestic_Sizing!A6),Domestic_Sizing!B6,IF(AND(AWWA_Calculation04!G33&gt;Domestic_Sizing!A6,AWWA_Calculation04!G33&lt;=Domestic_Sizing!A7),Domestic_Sizing!B7,IF(AND(AWWA_Calculation04!G33&gt;Domestic_Sizing!A7,AWWA_Calculation04!G33&lt;=Domestic_Sizing!A8),Domestic_Sizing!B8,IF(AND(AWWA_Calculation04!G33&gt;Domestic_Sizing!A8,AWWA_Calculation04!G33&lt;=Domestic_Sizing!A9),Domestic_Sizing!B9,IF(AWWA_Calculation04!G33&gt;Domestic_Sizing!A9,Domestic_Sizing!B10,"")))))))))</f>
        <v>#VALUE!</v>
      </c>
    </row>
    <row r="36" spans="1:8" x14ac:dyDescent="0.25">
      <c r="F36" s="3"/>
      <c r="G36" s="47"/>
    </row>
    <row r="37" spans="1:8" x14ac:dyDescent="0.25">
      <c r="F37" s="25" t="s">
        <v>43</v>
      </c>
      <c r="G37" s="26" t="e">
        <f>G33</f>
        <v>#VALUE!</v>
      </c>
    </row>
    <row r="38" spans="1:8" x14ac:dyDescent="0.25">
      <c r="F38" s="25" t="s">
        <v>62</v>
      </c>
      <c r="G38" s="27" t="e">
        <f>G34</f>
        <v>#VALUE!</v>
      </c>
    </row>
    <row r="39" spans="1:8" x14ac:dyDescent="0.25">
      <c r="F39" s="25" t="s">
        <v>60</v>
      </c>
      <c r="G39" s="26" t="e">
        <f>B33/B34</f>
        <v>#VALUE!</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sheetPr>
  <dimension ref="A1:H42"/>
  <sheetViews>
    <sheetView zoomScale="85" zoomScaleNormal="85" workbookViewId="0">
      <selection activeCell="F28" sqref="F28"/>
    </sheetView>
  </sheetViews>
  <sheetFormatPr defaultRowHeight="15" x14ac:dyDescent="0.25"/>
  <cols>
    <col min="1" max="1" width="28.85546875" style="9" customWidth="1"/>
    <col min="2" max="2" width="22.28515625" style="9" bestFit="1" customWidth="1"/>
    <col min="3" max="3" width="18.42578125" style="9" bestFit="1" customWidth="1"/>
    <col min="4" max="4" width="11.140625" style="9" bestFit="1" customWidth="1"/>
    <col min="5" max="5" width="4.5703125" customWidth="1"/>
    <col min="6" max="6" width="44.140625" style="8" bestFit="1" customWidth="1"/>
    <col min="7" max="7" width="12" bestFit="1" customWidth="1"/>
    <col min="8" max="8" width="9.5703125" bestFit="1" customWidth="1"/>
    <col min="13" max="13" width="32.5703125" bestFit="1" customWidth="1"/>
  </cols>
  <sheetData>
    <row r="1" spans="1:4" x14ac:dyDescent="0.25">
      <c r="A1" s="15" t="s">
        <v>7</v>
      </c>
      <c r="B1" s="16" t="s">
        <v>31</v>
      </c>
      <c r="C1" s="16" t="s">
        <v>24</v>
      </c>
      <c r="D1" s="16" t="s">
        <v>32</v>
      </c>
    </row>
    <row r="2" spans="1:4" x14ac:dyDescent="0.25">
      <c r="A2" s="14" t="s">
        <v>8</v>
      </c>
      <c r="B2" s="12">
        <v>6</v>
      </c>
      <c r="C2" s="12">
        <f>SUM('Customer Input'!E35:F35)</f>
        <v>0</v>
      </c>
      <c r="D2" s="13">
        <f>B2*C2</f>
        <v>0</v>
      </c>
    </row>
    <row r="3" spans="1:4" x14ac:dyDescent="0.25">
      <c r="A3" s="14" t="s">
        <v>9</v>
      </c>
      <c r="B3" s="12">
        <v>24</v>
      </c>
      <c r="C3" s="12">
        <f>SUM('Customer Input'!E36:F36)</f>
        <v>0</v>
      </c>
      <c r="D3" s="13">
        <f t="shared" ref="D3:D21" si="0">B3*C3</f>
        <v>0</v>
      </c>
    </row>
    <row r="4" spans="1:4" x14ac:dyDescent="0.25">
      <c r="A4" s="14" t="s">
        <v>19</v>
      </c>
      <c r="B4" s="43">
        <v>6</v>
      </c>
      <c r="C4" s="12">
        <f>SUM('Customer Input'!E37:F37)</f>
        <v>0</v>
      </c>
      <c r="D4" s="13">
        <f t="shared" si="0"/>
        <v>0</v>
      </c>
    </row>
    <row r="5" spans="1:4" x14ac:dyDescent="0.25">
      <c r="A5" s="19" t="s">
        <v>79</v>
      </c>
      <c r="B5" s="12">
        <v>8</v>
      </c>
      <c r="C5" s="12">
        <f>SUM('Customer Input'!E38:F38)</f>
        <v>0</v>
      </c>
      <c r="D5" s="13">
        <f t="shared" si="0"/>
        <v>0</v>
      </c>
    </row>
    <row r="6" spans="1:4" x14ac:dyDescent="0.25">
      <c r="A6" s="19" t="s">
        <v>73</v>
      </c>
      <c r="B6" s="12">
        <v>8</v>
      </c>
      <c r="C6" s="12">
        <f>SUM('Customer Input'!E39:F39)</f>
        <v>0</v>
      </c>
      <c r="D6" s="13">
        <f t="shared" si="0"/>
        <v>0</v>
      </c>
    </row>
    <row r="7" spans="1:4" x14ac:dyDescent="0.25">
      <c r="A7" s="19" t="s">
        <v>72</v>
      </c>
      <c r="B7" s="12">
        <v>2.5</v>
      </c>
      <c r="C7" s="12">
        <f>SUM('Customer Input'!E40:F40)</f>
        <v>0</v>
      </c>
      <c r="D7" s="13">
        <f t="shared" si="0"/>
        <v>0</v>
      </c>
    </row>
    <row r="8" spans="1:4" x14ac:dyDescent="0.25">
      <c r="A8" s="14" t="s">
        <v>18</v>
      </c>
      <c r="B8" s="12">
        <v>1.5</v>
      </c>
      <c r="C8" s="12">
        <f>SUM('Customer Input'!E41:F41)</f>
        <v>0</v>
      </c>
      <c r="D8" s="13">
        <f t="shared" si="0"/>
        <v>0</v>
      </c>
    </row>
    <row r="9" spans="1:4" x14ac:dyDescent="0.25">
      <c r="A9" s="14" t="s">
        <v>28</v>
      </c>
      <c r="B9" s="43">
        <v>3</v>
      </c>
      <c r="C9" s="12">
        <f>SUM('Customer Input'!E42:F42)</f>
        <v>0</v>
      </c>
      <c r="D9" s="13">
        <f t="shared" si="0"/>
        <v>0</v>
      </c>
    </row>
    <row r="10" spans="1:4" x14ac:dyDescent="0.25">
      <c r="A10" s="14" t="s">
        <v>20</v>
      </c>
      <c r="B10" s="43">
        <v>5</v>
      </c>
      <c r="C10" s="12">
        <f>SUM('Customer Input'!E43:F43)</f>
        <v>0</v>
      </c>
      <c r="D10" s="13">
        <f t="shared" si="0"/>
        <v>0</v>
      </c>
    </row>
    <row r="11" spans="1:4" x14ac:dyDescent="0.25">
      <c r="A11" s="14" t="s">
        <v>21</v>
      </c>
      <c r="B11" s="12">
        <v>10</v>
      </c>
      <c r="C11" s="12">
        <f>SUM('Customer Input'!E44:F44)</f>
        <v>0</v>
      </c>
      <c r="D11" s="13">
        <f t="shared" si="0"/>
        <v>0</v>
      </c>
    </row>
    <row r="12" spans="1:4" x14ac:dyDescent="0.25">
      <c r="A12" s="14" t="s">
        <v>10</v>
      </c>
      <c r="B12" s="12">
        <v>2</v>
      </c>
      <c r="C12" s="12">
        <f>SUM('Customer Input'!E45:F45)</f>
        <v>0</v>
      </c>
      <c r="D12" s="13">
        <f t="shared" si="0"/>
        <v>0</v>
      </c>
    </row>
    <row r="13" spans="1:4" x14ac:dyDescent="0.25">
      <c r="A13" s="14" t="s">
        <v>11</v>
      </c>
      <c r="B13" s="12">
        <v>1.8</v>
      </c>
      <c r="C13" s="12">
        <f>SUM('Customer Input'!E46:F46)</f>
        <v>0</v>
      </c>
      <c r="D13" s="13">
        <f t="shared" si="0"/>
        <v>0</v>
      </c>
    </row>
    <row r="14" spans="1:4" x14ac:dyDescent="0.25">
      <c r="A14" s="14" t="s">
        <v>22</v>
      </c>
      <c r="B14" s="12">
        <v>4</v>
      </c>
      <c r="C14" s="12">
        <f>SUM('Customer Input'!E47:F50)</f>
        <v>0</v>
      </c>
      <c r="D14" s="13">
        <f t="shared" si="0"/>
        <v>0</v>
      </c>
    </row>
    <row r="15" spans="1:4" x14ac:dyDescent="0.25">
      <c r="A15" s="14" t="s">
        <v>23</v>
      </c>
      <c r="B15" s="12">
        <v>1.3</v>
      </c>
      <c r="C15" s="12">
        <f>SUM('Customer Input'!E51:F51)</f>
        <v>0</v>
      </c>
      <c r="D15" s="13">
        <f t="shared" si="0"/>
        <v>0</v>
      </c>
    </row>
    <row r="16" spans="1:4" x14ac:dyDescent="0.25">
      <c r="A16" s="14" t="s">
        <v>16</v>
      </c>
      <c r="B16" s="12">
        <v>3</v>
      </c>
      <c r="C16" s="12">
        <f>SUM('Customer Input'!E52:F52)</f>
        <v>0</v>
      </c>
      <c r="D16" s="13">
        <f t="shared" si="0"/>
        <v>0</v>
      </c>
    </row>
    <row r="17" spans="1:7" x14ac:dyDescent="0.25">
      <c r="A17" s="14" t="s">
        <v>17</v>
      </c>
      <c r="B17" s="12">
        <v>6</v>
      </c>
      <c r="C17" s="12">
        <f>SUM('Customer Input'!E53:F53)</f>
        <v>0</v>
      </c>
      <c r="D17" s="13">
        <f t="shared" si="0"/>
        <v>0</v>
      </c>
    </row>
    <row r="18" spans="1:7" x14ac:dyDescent="0.25">
      <c r="A18" s="14" t="s">
        <v>15</v>
      </c>
      <c r="B18" s="43">
        <v>2.2000000000000002</v>
      </c>
      <c r="C18" s="12">
        <f>SUM('Customer Input'!E54:F54)</f>
        <v>0</v>
      </c>
      <c r="D18" s="13">
        <f t="shared" si="0"/>
        <v>0</v>
      </c>
    </row>
    <row r="19" spans="1:7" x14ac:dyDescent="0.25">
      <c r="A19" s="14" t="s">
        <v>12</v>
      </c>
      <c r="B19" s="12">
        <v>10</v>
      </c>
      <c r="C19" s="12">
        <f>SUM('Customer Input'!E55:F55)</f>
        <v>0</v>
      </c>
      <c r="D19" s="13">
        <f t="shared" si="0"/>
        <v>0</v>
      </c>
    </row>
    <row r="20" spans="1:7" x14ac:dyDescent="0.25">
      <c r="A20" s="14" t="s">
        <v>13</v>
      </c>
      <c r="B20" s="12">
        <v>2</v>
      </c>
      <c r="C20" s="12">
        <f>SUM('Customer Input'!E56:F56)</f>
        <v>0</v>
      </c>
      <c r="D20" s="13">
        <f t="shared" si="0"/>
        <v>0</v>
      </c>
    </row>
    <row r="21" spans="1:7" x14ac:dyDescent="0.25">
      <c r="A21" s="14" t="s">
        <v>14</v>
      </c>
      <c r="B21" s="12">
        <v>2</v>
      </c>
      <c r="C21" s="12">
        <f>SUM('Customer Input'!E57:F57)</f>
        <v>0</v>
      </c>
      <c r="D21" s="13">
        <f t="shared" si="0"/>
        <v>0</v>
      </c>
    </row>
    <row r="22" spans="1:7" x14ac:dyDescent="0.25">
      <c r="A22" s="14"/>
      <c r="B22" s="12"/>
      <c r="C22" s="12"/>
      <c r="D22" s="13"/>
    </row>
    <row r="23" spans="1:7" x14ac:dyDescent="0.25">
      <c r="A23" s="14"/>
      <c r="B23" s="12"/>
      <c r="C23" s="12"/>
      <c r="D23" s="13"/>
    </row>
    <row r="25" spans="1:7" x14ac:dyDescent="0.25">
      <c r="C25" s="14" t="s">
        <v>33</v>
      </c>
      <c r="D25" s="13">
        <f>SUM(D2:D21)+SUM('Customer Input'!E61:F64)</f>
        <v>0</v>
      </c>
      <c r="F25" s="18" t="s">
        <v>132</v>
      </c>
      <c r="G25" s="17" t="str">
        <f>IF(D25=0,"Please enter fixture value",IF(D25&lt;=19,(-0.03*(D25^2))+(1.5*D25)+0.000000000000006153,IF(AND(D25&gt;19,D25&lt;1050),(-0.00003373*(D25^2))+(0.07799*D25)+16.12,IF(AND(D25&gt;=1050,D25&lt;1200),(1.219E-18*(D25^2))+(0.02*D25)+ 40,IF(AND(D25&gt;=1200,D25&lt;=2000), -0.000004*(D25^2) + 0.0175*(D25) + 49.286,IF(D25&gt;2000,(D25*0.0067)+57.432,"Please enter a valid number"))))))</f>
        <v>Please enter fixture value</v>
      </c>
    </row>
    <row r="26" spans="1:7" x14ac:dyDescent="0.25">
      <c r="F26" s="18" t="s">
        <v>133</v>
      </c>
      <c r="G26" s="17" t="str">
        <f>IF(D25="","Please enter fixture value", IF(D25&lt;25,"This fixture value should be above 25",IF(AND(D25&gt;=25,D25&lt;=1300),(-0.00003429*(D25^2))+ (0.1172*D25) +  38.34,IF(AND(D25&gt;1300,D25&lt;=2000),(-0.00002857 *(D25^2))+ (0.115*D25) +  31.79,IF(D25&gt;2000,(-0.000000002936*(D25^2))+ (0.006716 *D25) + 137.4, "Please enter a valid number")))))</f>
        <v>This fixture value should be above 25</v>
      </c>
    </row>
    <row r="27" spans="1:7" x14ac:dyDescent="0.25">
      <c r="F27" s="19" t="s">
        <v>41</v>
      </c>
      <c r="G27" s="20">
        <f>'Customer Input'!E19</f>
        <v>0</v>
      </c>
    </row>
    <row r="28" spans="1:7" x14ac:dyDescent="0.25">
      <c r="B28" s="11"/>
      <c r="F28" s="19" t="s">
        <v>35</v>
      </c>
      <c r="G28" s="21">
        <f>'Customer Input'!C16</f>
        <v>0</v>
      </c>
    </row>
    <row r="29" spans="1:7" x14ac:dyDescent="0.25">
      <c r="B29" s="11"/>
      <c r="F29" s="19" t="s">
        <v>63</v>
      </c>
      <c r="G29" s="21" t="str">
        <f>IF(OR(((C2+C4+C9)&gt;(C3+C10+C11)),(C2+C4+C3+C9+C10+C11=0)),"Tank","Valve")</f>
        <v>Tank</v>
      </c>
    </row>
    <row r="30" spans="1:7" x14ac:dyDescent="0.25">
      <c r="B30" s="11"/>
      <c r="F30" s="19" t="s">
        <v>36</v>
      </c>
      <c r="G30" s="21">
        <f>'Customer Input'!C17</f>
        <v>0</v>
      </c>
    </row>
    <row r="31" spans="1:7" x14ac:dyDescent="0.25">
      <c r="B31" s="11"/>
    </row>
    <row r="32" spans="1:7" x14ac:dyDescent="0.25">
      <c r="A32" s="38"/>
      <c r="B32" s="23"/>
      <c r="C32"/>
      <c r="D32" s="37"/>
      <c r="F32" s="19" t="s">
        <v>42</v>
      </c>
      <c r="G32" s="22" t="e">
        <f>IF(G29="Tank",(G25),(G26))+SUM(C37:C39)</f>
        <v>#VALUE!</v>
      </c>
    </row>
    <row r="33" spans="1:8" x14ac:dyDescent="0.25">
      <c r="A33" s="38" t="s">
        <v>58</v>
      </c>
      <c r="B33" t="e">
        <f>G36*0.002228</f>
        <v>#VALUE!</v>
      </c>
      <c r="C33"/>
      <c r="F33" s="3" t="s">
        <v>40</v>
      </c>
      <c r="G33" s="24" t="e">
        <f>IF(G32&lt;=Domestic_Sizing!A2,Domestic_Sizing!B2,IF(AND(AWWA_Calculation14!G32&gt;Domestic_Sizing!A2,AWWA_Calculation14!G32&lt;=Domestic_Sizing!A3),Domestic_Sizing!B3,IF(AND(AWWA_Calculation14!G32&gt;Domestic_Sizing!A3,AWWA_Calculation14!G32&lt;=Domestic_Sizing!A4),Domestic_Sizing!B4,IF(AND(AWWA_Calculation14!G32&gt;Domestic_Sizing!A4,AWWA_Calculation14!G32&lt;=Domestic_Sizing!A5),Domestic_Sizing!B5,IF(AND(AWWA_Calculation14!G32&gt;Domestic_Sizing!A5,AWWA_Calculation14!G32&lt;=Domestic_Sizing!A6),Domestic_Sizing!B6,IF(AND(AWWA_Calculation14!G32&gt;Domestic_Sizing!A6,AWWA_Calculation14!G32&lt;=Domestic_Sizing!A7),Domestic_Sizing!B7,IF(AND(AWWA_Calculation14!G32&gt;Domestic_Sizing!A7,AWWA_Calculation14!G32&lt;=Domestic_Sizing!A8),Domestic_Sizing!B8,IF(AND(AWWA_Calculation14!G32&gt;Domestic_Sizing!A8,AWWA_Calculation14!G32&lt;=Domestic_Sizing!A9),Domestic_Sizing!B9,IF(AWWA_Calculation14!G32&gt;Domestic_Sizing!A9,Domestic_Sizing!B10,"")))))))))</f>
        <v>#VALUE!</v>
      </c>
      <c r="H33" s="23"/>
    </row>
    <row r="34" spans="1:8" x14ac:dyDescent="0.25">
      <c r="A34" s="38" t="s">
        <v>59</v>
      </c>
      <c r="B34" t="e">
        <f>(G37^2)*3.14/4/144</f>
        <v>#VALUE!</v>
      </c>
    </row>
    <row r="35" spans="1:8" x14ac:dyDescent="0.25">
      <c r="F35" s="3"/>
      <c r="G35" s="47"/>
    </row>
    <row r="36" spans="1:8" x14ac:dyDescent="0.25">
      <c r="B36" s="11"/>
      <c r="C36" s="35" t="s">
        <v>51</v>
      </c>
      <c r="F36" s="25" t="s">
        <v>43</v>
      </c>
      <c r="G36" s="26" t="e">
        <f>G32</f>
        <v>#VALUE!</v>
      </c>
    </row>
    <row r="37" spans="1:8" x14ac:dyDescent="0.25">
      <c r="A37" s="14" t="s">
        <v>67</v>
      </c>
      <c r="B37" s="12">
        <v>5</v>
      </c>
      <c r="C37" s="11">
        <f>B37*SUM('Customer Input'!E58:F58)</f>
        <v>0</v>
      </c>
      <c r="F37" s="25" t="s">
        <v>62</v>
      </c>
      <c r="G37" s="27" t="e">
        <f>IF(AND(G33&lt;G35,OR(G28="Mutli-family",G28="Mixed Use")),G35,G33)</f>
        <v>#VALUE!</v>
      </c>
    </row>
    <row r="38" spans="1:8" x14ac:dyDescent="0.25">
      <c r="A38" s="14" t="s">
        <v>68</v>
      </c>
      <c r="B38" s="12">
        <v>9</v>
      </c>
      <c r="C38" s="11">
        <f>B38*SUM('Customer Input'!E59:F59)</f>
        <v>0</v>
      </c>
      <c r="F38" s="25" t="s">
        <v>60</v>
      </c>
      <c r="G38" s="26" t="e">
        <f>B33/B34</f>
        <v>#VALUE!</v>
      </c>
    </row>
    <row r="39" spans="1:8" x14ac:dyDescent="0.25">
      <c r="A39" s="14" t="s">
        <v>69</v>
      </c>
      <c r="B39" s="12">
        <v>12</v>
      </c>
      <c r="C39" s="11">
        <f>B39*SUM('Customer Input'!E60:F60)</f>
        <v>0</v>
      </c>
    </row>
    <row r="41" spans="1:8" x14ac:dyDescent="0.25">
      <c r="A41" s="44" t="s">
        <v>70</v>
      </c>
    </row>
    <row r="42" spans="1:8" x14ac:dyDescent="0.25">
      <c r="A42" s="46" t="s">
        <v>78</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8"/>
  </sheetPr>
  <dimension ref="A1:O41"/>
  <sheetViews>
    <sheetView zoomScale="85" zoomScaleNormal="85" workbookViewId="0">
      <selection activeCell="F28" sqref="F28"/>
    </sheetView>
  </sheetViews>
  <sheetFormatPr defaultRowHeight="15" x14ac:dyDescent="0.25"/>
  <cols>
    <col min="1" max="1" width="29.28515625" style="9" customWidth="1"/>
    <col min="2" max="2" width="8.42578125" style="9" bestFit="1" customWidth="1"/>
    <col min="3" max="3" width="9.85546875" style="9" customWidth="1"/>
    <col min="4" max="4" width="14" style="9" customWidth="1"/>
    <col min="5" max="5" width="15.42578125" style="9" customWidth="1"/>
    <col min="6" max="6" width="14.42578125" bestFit="1" customWidth="1"/>
    <col min="7" max="7" width="36" style="8" bestFit="1" customWidth="1"/>
    <col min="8" max="8" width="12.42578125" bestFit="1" customWidth="1"/>
    <col min="9" max="9" width="9.5703125" bestFit="1" customWidth="1"/>
    <col min="10" max="10" width="7.140625" customWidth="1"/>
    <col min="11" max="11" width="28.85546875" bestFit="1" customWidth="1"/>
    <col min="12" max="12" width="10.85546875" bestFit="1" customWidth="1"/>
    <col min="13" max="13" width="13.5703125" bestFit="1" customWidth="1"/>
    <col min="14" max="14" width="28.85546875" bestFit="1" customWidth="1"/>
  </cols>
  <sheetData>
    <row r="1" spans="1:15" ht="30" x14ac:dyDescent="0.25">
      <c r="A1" s="15" t="s">
        <v>7</v>
      </c>
      <c r="B1" s="16" t="s">
        <v>46</v>
      </c>
      <c r="C1" s="16" t="s">
        <v>45</v>
      </c>
      <c r="D1" s="36" t="s">
        <v>55</v>
      </c>
      <c r="E1" s="36" t="s">
        <v>56</v>
      </c>
      <c r="F1" s="16" t="s">
        <v>50</v>
      </c>
    </row>
    <row r="2" spans="1:15" x14ac:dyDescent="0.25">
      <c r="A2" s="14" t="s">
        <v>49</v>
      </c>
      <c r="B2" s="28"/>
      <c r="C2" s="12">
        <v>3.6</v>
      </c>
      <c r="D2" s="49"/>
      <c r="E2" s="12">
        <f>L8</f>
        <v>0</v>
      </c>
      <c r="F2" s="12">
        <f>(D2*B2)+(C2*E2)</f>
        <v>0</v>
      </c>
    </row>
    <row r="3" spans="1:15" x14ac:dyDescent="0.25">
      <c r="A3" s="14" t="s">
        <v>8</v>
      </c>
      <c r="B3" s="12">
        <v>5</v>
      </c>
      <c r="C3" s="12">
        <v>2.2000000000000002</v>
      </c>
      <c r="D3" s="11">
        <f>'Customer Input'!E35</f>
        <v>0</v>
      </c>
      <c r="E3" s="12">
        <f>M4</f>
        <v>0</v>
      </c>
      <c r="F3" s="12">
        <f>(D3*B3)+(C3*E3)</f>
        <v>0</v>
      </c>
      <c r="K3" s="48" t="s">
        <v>84</v>
      </c>
      <c r="L3" t="s">
        <v>85</v>
      </c>
      <c r="M3" t="s">
        <v>86</v>
      </c>
      <c r="N3" s="48"/>
    </row>
    <row r="4" spans="1:15" x14ac:dyDescent="0.25">
      <c r="A4" s="14" t="s">
        <v>9</v>
      </c>
      <c r="B4" s="12">
        <v>10</v>
      </c>
      <c r="C4" s="12">
        <v>6</v>
      </c>
      <c r="D4" s="11">
        <f>'Customer Input'!E36</f>
        <v>0</v>
      </c>
      <c r="E4" s="12">
        <f>'Customer Input'!F36</f>
        <v>0</v>
      </c>
      <c r="F4" s="12">
        <f t="shared" ref="F4:F5" si="0">(D4*B4)+(C4*E4)</f>
        <v>0</v>
      </c>
      <c r="K4" t="s">
        <v>8</v>
      </c>
      <c r="L4">
        <f>'Customer Input'!F35</f>
        <v>0</v>
      </c>
      <c r="M4">
        <f>L4-$L$8</f>
        <v>0</v>
      </c>
    </row>
    <row r="5" spans="1:15" x14ac:dyDescent="0.25">
      <c r="A5" s="14" t="s">
        <v>19</v>
      </c>
      <c r="B5" s="12">
        <v>2</v>
      </c>
      <c r="C5" s="12">
        <v>2</v>
      </c>
      <c r="D5" s="11">
        <f>'Customer Input'!E37</f>
        <v>0</v>
      </c>
      <c r="E5" s="12">
        <f>'Customer Input'!F37</f>
        <v>0</v>
      </c>
      <c r="F5" s="12">
        <f t="shared" si="0"/>
        <v>0</v>
      </c>
      <c r="K5" s="24" t="s">
        <v>73</v>
      </c>
      <c r="L5">
        <f>SUM('Customer Input'!F38:F40)</f>
        <v>0</v>
      </c>
      <c r="M5">
        <f t="shared" ref="M5:M6" si="1">L5-$L$8</f>
        <v>0</v>
      </c>
      <c r="N5" s="24"/>
    </row>
    <row r="6" spans="1:15" x14ac:dyDescent="0.25">
      <c r="A6" s="19" t="s">
        <v>73</v>
      </c>
      <c r="B6" s="12">
        <v>4</v>
      </c>
      <c r="C6" s="12">
        <v>1.4</v>
      </c>
      <c r="D6" s="11">
        <f>SUM('Customer Input'!E38:E40)</f>
        <v>0</v>
      </c>
      <c r="E6" s="12">
        <f>M5</f>
        <v>0</v>
      </c>
      <c r="F6" s="12">
        <f t="shared" ref="F6:F20" si="2">(D6*B6)+(C6*E6)</f>
        <v>0</v>
      </c>
      <c r="K6" t="s">
        <v>18</v>
      </c>
      <c r="L6">
        <f>'Customer Input'!F41</f>
        <v>0</v>
      </c>
      <c r="M6">
        <f t="shared" si="1"/>
        <v>0</v>
      </c>
    </row>
    <row r="7" spans="1:15" x14ac:dyDescent="0.25">
      <c r="A7" s="14" t="s">
        <v>18</v>
      </c>
      <c r="B7" s="12">
        <v>2</v>
      </c>
      <c r="C7" s="12">
        <v>0.7</v>
      </c>
      <c r="D7" s="11">
        <f>'Customer Input'!E41</f>
        <v>0</v>
      </c>
      <c r="E7" s="12">
        <f>M6</f>
        <v>0</v>
      </c>
      <c r="F7" s="12">
        <f>(D7*B7)+(C7*E7)</f>
        <v>0</v>
      </c>
    </row>
    <row r="8" spans="1:15" x14ac:dyDescent="0.25">
      <c r="A8" s="14" t="s">
        <v>28</v>
      </c>
      <c r="B8" s="12">
        <v>3</v>
      </c>
      <c r="C8" s="12">
        <v>3</v>
      </c>
      <c r="D8" s="11">
        <f>'Customer Input'!E42</f>
        <v>0</v>
      </c>
      <c r="E8" s="12">
        <f>'Customer Input'!F42</f>
        <v>0</v>
      </c>
      <c r="F8" s="12">
        <f>(D8*B8)+(C8*E8)</f>
        <v>0</v>
      </c>
      <c r="K8" s="48" t="s">
        <v>84</v>
      </c>
      <c r="L8" s="48">
        <f>IF(OR(H28="Multi-family",H28="Residential",AND(H28="Mixed Use",H29&lt;&gt;0)),IF(AND(L4=L5,L4=L6),L4,IF(AND(L4=L5,L4&lt;&gt;L6),L4,IF(AND(L4&lt;=L5,L4&lt;=L6),L4,IF(AND(L5&lt;=L4,L5&lt;=L6),L5,"error")))),0)</f>
        <v>0</v>
      </c>
      <c r="N8" s="48"/>
      <c r="O8" s="48"/>
    </row>
    <row r="9" spans="1:15" x14ac:dyDescent="0.25">
      <c r="A9" s="14" t="s">
        <v>20</v>
      </c>
      <c r="B9" s="12">
        <v>5</v>
      </c>
      <c r="C9" s="12">
        <v>5</v>
      </c>
      <c r="D9" s="11">
        <f>'Customer Input'!E43</f>
        <v>0</v>
      </c>
      <c r="E9" s="12">
        <f>'Customer Input'!F43</f>
        <v>0</v>
      </c>
      <c r="F9" s="12">
        <f t="shared" si="2"/>
        <v>0</v>
      </c>
      <c r="K9" s="24"/>
    </row>
    <row r="10" spans="1:15" x14ac:dyDescent="0.25">
      <c r="A10" s="14" t="s">
        <v>21</v>
      </c>
      <c r="B10" s="12">
        <v>10</v>
      </c>
      <c r="C10" s="12">
        <v>10</v>
      </c>
      <c r="D10" s="11">
        <f>'Customer Input'!E44</f>
        <v>0</v>
      </c>
      <c r="E10" s="12">
        <f>'Customer Input'!F44</f>
        <v>0</v>
      </c>
      <c r="F10" s="12">
        <f t="shared" si="2"/>
        <v>0</v>
      </c>
    </row>
    <row r="11" spans="1:15" x14ac:dyDescent="0.25">
      <c r="A11" s="14" t="s">
        <v>10</v>
      </c>
      <c r="B11" s="28"/>
      <c r="C11" s="12">
        <v>2</v>
      </c>
      <c r="D11" s="11">
        <f>'Customer Input'!E45</f>
        <v>0</v>
      </c>
      <c r="E11" s="12">
        <f>'Customer Input'!F45</f>
        <v>0</v>
      </c>
      <c r="F11" s="12">
        <f t="shared" si="2"/>
        <v>0</v>
      </c>
    </row>
    <row r="12" spans="1:15" x14ac:dyDescent="0.25">
      <c r="A12" s="14" t="s">
        <v>11</v>
      </c>
      <c r="B12" s="12">
        <v>4</v>
      </c>
      <c r="C12" s="12">
        <v>1.4</v>
      </c>
      <c r="D12" s="11">
        <f>'Customer Input'!E46</f>
        <v>0</v>
      </c>
      <c r="E12" s="12">
        <f>'Customer Input'!F46</f>
        <v>0</v>
      </c>
      <c r="F12" s="12">
        <f t="shared" si="2"/>
        <v>0</v>
      </c>
    </row>
    <row r="13" spans="1:15" x14ac:dyDescent="0.25">
      <c r="A13" s="14" t="s">
        <v>22</v>
      </c>
      <c r="B13" s="12">
        <v>3</v>
      </c>
      <c r="C13" s="12">
        <v>1.4</v>
      </c>
      <c r="D13" s="11">
        <f>SUM('Customer Input'!E47:E50)</f>
        <v>0</v>
      </c>
      <c r="E13" s="11">
        <f>SUM('Customer Input'!F47:F50)</f>
        <v>0</v>
      </c>
      <c r="F13" s="12">
        <f>(D13*B13)+(C13*E13)</f>
        <v>0</v>
      </c>
    </row>
    <row r="14" spans="1:15" x14ac:dyDescent="0.25">
      <c r="A14" s="14" t="s">
        <v>23</v>
      </c>
      <c r="B14" s="12">
        <v>1.4</v>
      </c>
      <c r="C14" s="12">
        <v>1.4</v>
      </c>
      <c r="D14" s="11">
        <f>'Customer Input'!E51</f>
        <v>0</v>
      </c>
      <c r="E14" s="12">
        <f>'Customer Input'!F51</f>
        <v>0</v>
      </c>
      <c r="F14" s="12">
        <f t="shared" si="2"/>
        <v>0</v>
      </c>
    </row>
    <row r="15" spans="1:15" x14ac:dyDescent="0.25">
      <c r="A15" s="14" t="s">
        <v>48</v>
      </c>
      <c r="B15" s="12">
        <v>3</v>
      </c>
      <c r="C15" s="12">
        <v>1.4</v>
      </c>
      <c r="D15" s="11">
        <f>'Customer Input'!E52</f>
        <v>0</v>
      </c>
      <c r="E15" s="12">
        <f>'Customer Input'!F52</f>
        <v>0</v>
      </c>
      <c r="F15" s="12">
        <f t="shared" si="2"/>
        <v>0</v>
      </c>
    </row>
    <row r="16" spans="1:15" x14ac:dyDescent="0.25">
      <c r="A16" s="14" t="s">
        <v>47</v>
      </c>
      <c r="B16" s="12">
        <v>4</v>
      </c>
      <c r="C16" s="28"/>
      <c r="D16" s="11">
        <f>'Customer Input'!E53</f>
        <v>0</v>
      </c>
      <c r="E16" s="12">
        <f>'Customer Input'!F53</f>
        <v>0</v>
      </c>
      <c r="F16" s="12">
        <f t="shared" si="2"/>
        <v>0</v>
      </c>
    </row>
    <row r="17" spans="1:9" x14ac:dyDescent="0.25">
      <c r="A17" s="14" t="s">
        <v>15</v>
      </c>
      <c r="B17" s="28"/>
      <c r="C17" s="12">
        <v>1.4</v>
      </c>
      <c r="D17" s="11">
        <f>'Customer Input'!E54</f>
        <v>0</v>
      </c>
      <c r="E17" s="12">
        <f>'Customer Input'!F54</f>
        <v>0</v>
      </c>
      <c r="F17" s="12">
        <f t="shared" si="2"/>
        <v>0</v>
      </c>
    </row>
    <row r="18" spans="1:9" x14ac:dyDescent="0.25">
      <c r="A18" s="14" t="s">
        <v>12</v>
      </c>
      <c r="B18" s="43">
        <v>4</v>
      </c>
      <c r="C18" s="28"/>
      <c r="D18" s="11">
        <f>'Customer Input'!E55</f>
        <v>0</v>
      </c>
      <c r="E18" s="12">
        <f>'Customer Input'!F55</f>
        <v>0</v>
      </c>
      <c r="F18" s="12">
        <f t="shared" si="2"/>
        <v>0</v>
      </c>
    </row>
    <row r="19" spans="1:9" x14ac:dyDescent="0.25">
      <c r="A19" s="14" t="s">
        <v>13</v>
      </c>
      <c r="B19" s="12">
        <v>0.25</v>
      </c>
      <c r="C19" s="28"/>
      <c r="D19" s="11">
        <f>'Customer Input'!E56</f>
        <v>0</v>
      </c>
      <c r="E19" s="12">
        <f>'Customer Input'!F56</f>
        <v>0</v>
      </c>
      <c r="F19" s="12">
        <f t="shared" si="2"/>
        <v>0</v>
      </c>
    </row>
    <row r="20" spans="1:9" x14ac:dyDescent="0.25">
      <c r="A20" s="14" t="s">
        <v>14</v>
      </c>
      <c r="B20" s="43">
        <v>0.25</v>
      </c>
      <c r="C20" s="28"/>
      <c r="D20" s="11">
        <f>'Customer Input'!E57</f>
        <v>0</v>
      </c>
      <c r="E20" s="12">
        <f>'Customer Input'!F57</f>
        <v>0</v>
      </c>
      <c r="F20" s="12">
        <f t="shared" si="2"/>
        <v>0</v>
      </c>
    </row>
    <row r="22" spans="1:9" x14ac:dyDescent="0.25">
      <c r="E22" s="14" t="s">
        <v>33</v>
      </c>
      <c r="F22" s="13">
        <f>SUM(F2:F20)+SUM('Customer Input'!E61:F64)</f>
        <v>0</v>
      </c>
    </row>
    <row r="24" spans="1:9" x14ac:dyDescent="0.25">
      <c r="G24" s="18" t="s">
        <v>52</v>
      </c>
      <c r="H24" s="17">
        <f>IF(F22="","Please enter fixture value", IF(F22&lt;20,(-0.040095 *(F22^2))+ (1.665219 *F22) +  1.863772,IF(AND(F22&gt;=20,F22&lt;100),(-0.0002968 *(F22^2))+ (0.3311624*F22) +  13.4039954,IF(AND(F22&gt;=100,F22&lt;=315),(-0.0000836*(F22^2))+ (0.2394 *F22) + 20.53,IF(AND(F22&gt;315,F22&lt;1364),(-0.00005254*(F22^2))+(0.2444*(F22))+ 15.84, IF(F22&gt;=1364,(-0.000008128*(F22^2))+(0.1461 *(F22))+  67.3,"Please enter a valid number"))))))</f>
        <v>1.863772</v>
      </c>
    </row>
    <row r="25" spans="1:9" x14ac:dyDescent="0.25">
      <c r="A25" s="14"/>
      <c r="G25" s="18" t="s">
        <v>53</v>
      </c>
      <c r="H25" s="17">
        <f>IF(F22="","Please enter fixture value", IF(F22&lt;=10,(2.4*F22)+3,IF(AND(F22&gt;10,F22&lt;35),(-0.004125*(F22^2))+(0.906786*F22)+18.343016,IF(AND(F22&gt;=35,F22&lt;=300),(-0.0004512*(F22^2))+(0.3868*F22)+31.93,IF(AND(F22&gt;300,F22&lt;1364),(-0.00002994 *(F22^2))+(0.1815*F22)+58.03, IF(F22&gt;=1364,(-0.000008128*(F22^2))+(0.1461*F22)+67.3,"Please enter a valid number"))))))</f>
        <v>3</v>
      </c>
    </row>
    <row r="27" spans="1:9" x14ac:dyDescent="0.25">
      <c r="B27" s="11"/>
      <c r="C27" s="35" t="s">
        <v>51</v>
      </c>
      <c r="G27" s="19" t="s">
        <v>54</v>
      </c>
      <c r="H27" s="21" t="str">
        <f>IF(OR(((D2+E2+D5+E5+D3+E3+D8+E8)&gt;(D4+E4+D9+D10+E9+E10)),(D2+E2+D5+E5+D3+E3+D4+E4+D8+D9+D10+E8+E9+E10=0)),"Tank","Valve")</f>
        <v>Tank</v>
      </c>
    </row>
    <row r="28" spans="1:9" x14ac:dyDescent="0.25">
      <c r="A28" s="14" t="s">
        <v>67</v>
      </c>
      <c r="B28" s="12">
        <v>5</v>
      </c>
      <c r="C28" s="11">
        <f>B28*SUM('Customer Input'!E58:F58)</f>
        <v>0</v>
      </c>
      <c r="G28" s="19" t="s">
        <v>35</v>
      </c>
      <c r="H28" s="21">
        <f>'Customer Input'!C16</f>
        <v>0</v>
      </c>
    </row>
    <row r="29" spans="1:9" x14ac:dyDescent="0.25">
      <c r="A29" s="14" t="s">
        <v>68</v>
      </c>
      <c r="B29" s="12">
        <v>9</v>
      </c>
      <c r="C29" s="11">
        <f>B29*SUM('Customer Input'!E59:F59)</f>
        <v>0</v>
      </c>
      <c r="G29" s="19" t="s">
        <v>36</v>
      </c>
      <c r="H29" s="21">
        <f>'Customer Input'!C17</f>
        <v>0</v>
      </c>
    </row>
    <row r="30" spans="1:9" x14ac:dyDescent="0.25">
      <c r="A30" s="14" t="s">
        <v>69</v>
      </c>
      <c r="B30" s="12">
        <v>12</v>
      </c>
      <c r="C30" s="11">
        <f>B30*SUM('Customer Input'!E60:F60)</f>
        <v>0</v>
      </c>
    </row>
    <row r="31" spans="1:9" x14ac:dyDescent="0.25">
      <c r="G31" s="19" t="s">
        <v>42</v>
      </c>
      <c r="H31" s="22">
        <f>(IF(H27="Tank",(H24),(H25)))+SUM(C28:C30)</f>
        <v>1.863772</v>
      </c>
    </row>
    <row r="32" spans="1:9" x14ac:dyDescent="0.25">
      <c r="A32" s="38" t="s">
        <v>58</v>
      </c>
      <c r="B32">
        <f>H36*0.002228</f>
        <v>4.1524840159999996E-3</v>
      </c>
      <c r="G32" s="3" t="s">
        <v>40</v>
      </c>
      <c r="H32" s="24">
        <f>IF(H31&lt;=Domestic_Sizing!A2,Domestic_Sizing!B2,IF(AND(IPC_Calculation!H31&gt;Domestic_Sizing!A2,IPC_Calculation!H31&lt;=Domestic_Sizing!A3),Domestic_Sizing!B3,IF(AND(IPC_Calculation!H31&gt;Domestic_Sizing!A3,IPC_Calculation!H31&lt;=Domestic_Sizing!A4),Domestic_Sizing!B4,IF(AND(IPC_Calculation!H31&gt;Domestic_Sizing!A4,IPC_Calculation!H31&lt;=Domestic_Sizing!A5),Domestic_Sizing!B5,IF(AND(IPC_Calculation!H31&gt;Domestic_Sizing!A5,IPC_Calculation!H31&lt;=Domestic_Sizing!A6),Domestic_Sizing!B6,IF(AND(IPC_Calculation!H31&gt;Domestic_Sizing!A6,IPC_Calculation!H31&lt;=Domestic_Sizing!A7),Domestic_Sizing!B7,IF(AND(IPC_Calculation!H31&gt;Domestic_Sizing!A7,IPC_Calculation!H31&lt;=Domestic_Sizing!A8),Domestic_Sizing!B8,IF(AND(IPC_Calculation!H31&gt;Domestic_Sizing!A8,IPC_Calculation!H31&lt;=Domestic_Sizing!A9),Domestic_Sizing!B9,IF(IPC_Calculation!H31&gt;Domestic_Sizing!A9,Domestic_Sizing!B10,"")))))))))</f>
        <v>0.75</v>
      </c>
      <c r="I32" s="23"/>
    </row>
    <row r="33" spans="1:8" x14ac:dyDescent="0.25">
      <c r="A33" s="38" t="s">
        <v>59</v>
      </c>
      <c r="B33">
        <f>(H37^2)*3.14/4/144</f>
        <v>3.0664062500000001E-3</v>
      </c>
    </row>
    <row r="34" spans="1:8" x14ac:dyDescent="0.25">
      <c r="A34" s="14"/>
    </row>
    <row r="35" spans="1:8" x14ac:dyDescent="0.25">
      <c r="G35" s="3"/>
      <c r="H35" s="47"/>
    </row>
    <row r="36" spans="1:8" x14ac:dyDescent="0.25">
      <c r="G36" s="25" t="s">
        <v>43</v>
      </c>
      <c r="H36" s="26">
        <f>H31</f>
        <v>1.863772</v>
      </c>
    </row>
    <row r="37" spans="1:8" x14ac:dyDescent="0.25">
      <c r="G37" s="25" t="s">
        <v>62</v>
      </c>
      <c r="H37" s="27">
        <f>IF(AND(H32&lt;H35,OR(H28="Mutli-family",H28="Mixed Use")),H35,H32)</f>
        <v>0.75</v>
      </c>
    </row>
    <row r="38" spans="1:8" x14ac:dyDescent="0.25">
      <c r="G38" s="25" t="s">
        <v>60</v>
      </c>
      <c r="H38" s="26">
        <f>B32/B33</f>
        <v>1.354185870185987</v>
      </c>
    </row>
    <row r="40" spans="1:8" x14ac:dyDescent="0.25">
      <c r="A40" s="45" t="s">
        <v>71</v>
      </c>
    </row>
    <row r="41" spans="1:8" x14ac:dyDescent="0.25">
      <c r="A41" s="46" t="s">
        <v>115</v>
      </c>
    </row>
  </sheetData>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7030A0"/>
  </sheetPr>
  <dimension ref="A1:O46"/>
  <sheetViews>
    <sheetView zoomScale="85" zoomScaleNormal="85" workbookViewId="0">
      <selection activeCell="F28" sqref="F28"/>
    </sheetView>
  </sheetViews>
  <sheetFormatPr defaultRowHeight="15" x14ac:dyDescent="0.25"/>
  <cols>
    <col min="1" max="1" width="32.28515625" style="9" customWidth="1"/>
    <col min="2" max="2" width="8.42578125" style="9" bestFit="1" customWidth="1"/>
    <col min="3" max="3" width="9.85546875" style="9" customWidth="1"/>
    <col min="4" max="4" width="14" style="9" customWidth="1"/>
    <col min="5" max="5" width="15.42578125" style="9" customWidth="1"/>
    <col min="6" max="6" width="14.42578125" bestFit="1" customWidth="1"/>
    <col min="7" max="7" width="36" style="8" bestFit="1" customWidth="1"/>
    <col min="8" max="8" width="12.42578125" bestFit="1" customWidth="1"/>
    <col min="9" max="9" width="9.5703125" bestFit="1" customWidth="1"/>
    <col min="10" max="10" width="7.140625" customWidth="1"/>
    <col min="11" max="11" width="28.85546875" bestFit="1" customWidth="1"/>
    <col min="12" max="12" width="10.85546875" bestFit="1" customWidth="1"/>
    <col min="13" max="13" width="13.5703125" bestFit="1" customWidth="1"/>
    <col min="14" max="14" width="28.85546875" bestFit="1" customWidth="1"/>
  </cols>
  <sheetData>
    <row r="1" spans="1:15" ht="30" x14ac:dyDescent="0.25">
      <c r="A1" s="15" t="s">
        <v>7</v>
      </c>
      <c r="B1" s="16" t="s">
        <v>46</v>
      </c>
      <c r="C1" s="16" t="s">
        <v>45</v>
      </c>
      <c r="D1" s="36" t="s">
        <v>55</v>
      </c>
      <c r="E1" s="36" t="s">
        <v>56</v>
      </c>
      <c r="F1" s="16" t="s">
        <v>50</v>
      </c>
    </row>
    <row r="2" spans="1:15" x14ac:dyDescent="0.25">
      <c r="A2" s="14" t="s">
        <v>8</v>
      </c>
      <c r="B2" s="12">
        <v>2.5</v>
      </c>
      <c r="C2" s="12">
        <v>2.5</v>
      </c>
      <c r="D2" s="11">
        <f>'Customer Input'!E35</f>
        <v>0</v>
      </c>
      <c r="E2" s="11">
        <f>'Customer Input'!F35</f>
        <v>0</v>
      </c>
      <c r="F2" s="12">
        <f>(D2*B2)+(C2*E2)</f>
        <v>0</v>
      </c>
      <c r="K2" s="48"/>
      <c r="N2" s="48"/>
    </row>
    <row r="3" spans="1:15" x14ac:dyDescent="0.25">
      <c r="A3" s="14" t="s">
        <v>9</v>
      </c>
      <c r="B3" s="12">
        <v>5</v>
      </c>
      <c r="C3" s="12">
        <v>5</v>
      </c>
      <c r="D3" s="11">
        <f>'Customer Input'!E36</f>
        <v>0</v>
      </c>
      <c r="E3" s="11">
        <f>'Customer Input'!F36</f>
        <v>0</v>
      </c>
      <c r="F3" s="12">
        <f t="shared" ref="F3:F16" si="0">(D3*B3)+(C3*E3)</f>
        <v>0</v>
      </c>
    </row>
    <row r="4" spans="1:15" x14ac:dyDescent="0.25">
      <c r="A4" s="14" t="s">
        <v>19</v>
      </c>
      <c r="B4" s="12">
        <v>2.5</v>
      </c>
      <c r="C4" s="12">
        <v>2.5</v>
      </c>
      <c r="D4" s="11">
        <f>'Customer Input'!E37</f>
        <v>0</v>
      </c>
      <c r="E4" s="11">
        <f>'Customer Input'!F37</f>
        <v>0</v>
      </c>
      <c r="F4" s="12">
        <f t="shared" si="0"/>
        <v>0</v>
      </c>
      <c r="K4" s="24"/>
      <c r="N4" s="24"/>
    </row>
    <row r="5" spans="1:15" x14ac:dyDescent="0.25">
      <c r="A5" s="3" t="s">
        <v>73</v>
      </c>
      <c r="B5" s="12">
        <v>4</v>
      </c>
      <c r="C5" s="12">
        <v>4</v>
      </c>
      <c r="D5" s="11">
        <f>SUM('Customer Input'!E38:E39)</f>
        <v>0</v>
      </c>
      <c r="E5" s="11">
        <f>SUM('Customer Input'!F38:F39)</f>
        <v>0</v>
      </c>
      <c r="F5" s="12">
        <f t="shared" si="0"/>
        <v>0</v>
      </c>
    </row>
    <row r="6" spans="1:15" x14ac:dyDescent="0.25">
      <c r="A6" s="3" t="s">
        <v>118</v>
      </c>
      <c r="B6" s="12">
        <v>2</v>
      </c>
      <c r="C6" s="12">
        <v>2</v>
      </c>
      <c r="D6" s="11">
        <f>'Customer Input'!E40</f>
        <v>0</v>
      </c>
      <c r="E6" s="11">
        <f>'Customer Input'!F40</f>
        <v>0</v>
      </c>
      <c r="F6" s="12">
        <f t="shared" si="0"/>
        <v>0</v>
      </c>
    </row>
    <row r="7" spans="1:15" x14ac:dyDescent="0.25">
      <c r="A7" s="14" t="s">
        <v>18</v>
      </c>
      <c r="B7" s="12">
        <v>1</v>
      </c>
      <c r="C7" s="12">
        <v>1</v>
      </c>
      <c r="D7" s="11">
        <f>'Customer Input'!E41</f>
        <v>0</v>
      </c>
      <c r="E7" s="11">
        <f>'Customer Input'!F41</f>
        <v>0</v>
      </c>
      <c r="F7" s="12">
        <f t="shared" si="0"/>
        <v>0</v>
      </c>
    </row>
    <row r="8" spans="1:15" x14ac:dyDescent="0.25">
      <c r="A8" s="14" t="s">
        <v>28</v>
      </c>
      <c r="B8" s="12">
        <v>2</v>
      </c>
      <c r="C8" s="12">
        <v>2</v>
      </c>
      <c r="D8" s="11">
        <f>'Customer Input'!E42</f>
        <v>0</v>
      </c>
      <c r="E8" s="11">
        <f>'Customer Input'!F42</f>
        <v>0</v>
      </c>
      <c r="F8" s="12">
        <f t="shared" si="0"/>
        <v>0</v>
      </c>
      <c r="K8" s="48"/>
      <c r="L8" s="48"/>
      <c r="N8" s="48"/>
      <c r="O8" s="48"/>
    </row>
    <row r="9" spans="1:15" x14ac:dyDescent="0.25">
      <c r="A9" s="14" t="s">
        <v>20</v>
      </c>
      <c r="B9" s="12">
        <v>4</v>
      </c>
      <c r="C9" s="12">
        <v>3</v>
      </c>
      <c r="D9" s="11">
        <f>'Customer Input'!E43</f>
        <v>0</v>
      </c>
      <c r="E9" s="11">
        <f>'Customer Input'!F43</f>
        <v>0</v>
      </c>
      <c r="F9" s="12">
        <f t="shared" si="0"/>
        <v>0</v>
      </c>
      <c r="K9" s="24"/>
    </row>
    <row r="10" spans="1:15" x14ac:dyDescent="0.25">
      <c r="A10" s="14" t="s">
        <v>21</v>
      </c>
      <c r="B10" s="12">
        <v>5</v>
      </c>
      <c r="C10" s="12">
        <v>4</v>
      </c>
      <c r="D10" s="11">
        <f>'Customer Input'!E44</f>
        <v>0</v>
      </c>
      <c r="E10" s="11">
        <f>'Customer Input'!F44</f>
        <v>0</v>
      </c>
      <c r="F10" s="12">
        <f t="shared" si="0"/>
        <v>0</v>
      </c>
    </row>
    <row r="11" spans="1:15" x14ac:dyDescent="0.25">
      <c r="A11" s="14" t="s">
        <v>10</v>
      </c>
      <c r="B11" s="28"/>
      <c r="C11" s="12">
        <v>1</v>
      </c>
      <c r="D11" s="11">
        <f>'Customer Input'!E45</f>
        <v>0</v>
      </c>
      <c r="E11" s="11">
        <f>'Customer Input'!F45</f>
        <v>0</v>
      </c>
      <c r="F11" s="12">
        <f t="shared" si="0"/>
        <v>0</v>
      </c>
    </row>
    <row r="12" spans="1:15" x14ac:dyDescent="0.25">
      <c r="A12" s="14" t="s">
        <v>11</v>
      </c>
      <c r="B12" s="12">
        <v>1.5</v>
      </c>
      <c r="C12" s="12">
        <v>1.5</v>
      </c>
      <c r="D12" s="11">
        <f>'Customer Input'!E46</f>
        <v>0</v>
      </c>
      <c r="E12" s="11">
        <f>'Customer Input'!F46</f>
        <v>0</v>
      </c>
      <c r="F12" s="12">
        <f t="shared" si="0"/>
        <v>0</v>
      </c>
    </row>
    <row r="13" spans="1:15" x14ac:dyDescent="0.25">
      <c r="A13" s="14" t="s">
        <v>22</v>
      </c>
      <c r="B13" s="12">
        <v>3</v>
      </c>
      <c r="C13" s="12">
        <v>1.5</v>
      </c>
      <c r="D13" s="11">
        <f>'Customer Input'!E47</f>
        <v>0</v>
      </c>
      <c r="E13" s="11">
        <f>'Customer Input'!F47</f>
        <v>0</v>
      </c>
      <c r="F13" s="12">
        <f t="shared" si="0"/>
        <v>0</v>
      </c>
    </row>
    <row r="14" spans="1:15" x14ac:dyDescent="0.25">
      <c r="A14" s="14" t="s">
        <v>119</v>
      </c>
      <c r="B14" s="12">
        <v>2</v>
      </c>
      <c r="C14" s="12">
        <v>1</v>
      </c>
      <c r="D14" s="11">
        <f>'Customer Input'!E48</f>
        <v>0</v>
      </c>
      <c r="E14" s="11">
        <f>'Customer Input'!F48</f>
        <v>0</v>
      </c>
      <c r="F14" s="12">
        <f t="shared" si="0"/>
        <v>0</v>
      </c>
    </row>
    <row r="15" spans="1:15" x14ac:dyDescent="0.25">
      <c r="A15" s="14" t="s">
        <v>120</v>
      </c>
      <c r="B15" s="12">
        <v>1.5</v>
      </c>
      <c r="C15" s="12">
        <v>1.5</v>
      </c>
      <c r="D15" s="11">
        <f>'Customer Input'!E49</f>
        <v>0</v>
      </c>
      <c r="E15" s="11">
        <f>'Customer Input'!F49</f>
        <v>0</v>
      </c>
      <c r="F15" s="12">
        <f t="shared" si="0"/>
        <v>0</v>
      </c>
    </row>
    <row r="16" spans="1:15" x14ac:dyDescent="0.25">
      <c r="A16" s="14" t="s">
        <v>121</v>
      </c>
      <c r="B16" s="12">
        <v>2</v>
      </c>
      <c r="C16" s="28"/>
      <c r="D16" s="11">
        <f>'Customer Input'!E50</f>
        <v>0</v>
      </c>
      <c r="E16" s="11">
        <f>'Customer Input'!F50</f>
        <v>0</v>
      </c>
      <c r="F16" s="12">
        <f t="shared" si="0"/>
        <v>0</v>
      </c>
    </row>
    <row r="17" spans="1:8" x14ac:dyDescent="0.25">
      <c r="A17" s="14" t="s">
        <v>23</v>
      </c>
      <c r="B17" s="12">
        <v>1.5</v>
      </c>
      <c r="C17" s="12">
        <v>1.5</v>
      </c>
      <c r="D17" s="11">
        <f>'Customer Input'!E51</f>
        <v>0</v>
      </c>
      <c r="E17" s="12">
        <f>'Customer Input'!F51</f>
        <v>0</v>
      </c>
      <c r="F17" s="12">
        <f t="shared" ref="F17:F25" si="1">(D17*B17)+(C17*E17)</f>
        <v>0</v>
      </c>
    </row>
    <row r="18" spans="1:8" x14ac:dyDescent="0.25">
      <c r="A18" s="14" t="s">
        <v>48</v>
      </c>
      <c r="B18" s="12">
        <v>4</v>
      </c>
      <c r="C18" s="12">
        <v>4</v>
      </c>
      <c r="D18" s="11">
        <f>'Customer Input'!E52</f>
        <v>0</v>
      </c>
      <c r="E18" s="12">
        <f>'Customer Input'!F52</f>
        <v>0</v>
      </c>
      <c r="F18" s="12">
        <f t="shared" si="1"/>
        <v>0</v>
      </c>
    </row>
    <row r="19" spans="1:8" x14ac:dyDescent="0.25">
      <c r="A19" s="14" t="s">
        <v>47</v>
      </c>
      <c r="B19" s="43">
        <v>4</v>
      </c>
      <c r="C19" s="28"/>
      <c r="D19" s="11">
        <f>'Customer Input'!E53</f>
        <v>0</v>
      </c>
      <c r="E19" s="12">
        <f>'Customer Input'!F53</f>
        <v>0</v>
      </c>
      <c r="F19" s="12">
        <f t="shared" si="1"/>
        <v>0</v>
      </c>
    </row>
    <row r="20" spans="1:8" x14ac:dyDescent="0.25">
      <c r="A20" s="14" t="s">
        <v>15</v>
      </c>
      <c r="B20" s="28"/>
      <c r="C20" s="12">
        <v>1.4</v>
      </c>
      <c r="D20" s="11">
        <f>'Customer Input'!E54</f>
        <v>0</v>
      </c>
      <c r="E20" s="12">
        <f>'Customer Input'!F54</f>
        <v>0</v>
      </c>
      <c r="F20" s="12">
        <f t="shared" si="1"/>
        <v>0</v>
      </c>
    </row>
    <row r="21" spans="1:8" x14ac:dyDescent="0.25">
      <c r="A21" s="14" t="s">
        <v>12</v>
      </c>
      <c r="B21" s="43">
        <v>4</v>
      </c>
      <c r="C21" s="28"/>
      <c r="D21" s="11">
        <f>'Customer Input'!E55</f>
        <v>0</v>
      </c>
      <c r="E21" s="12">
        <f>'Customer Input'!F55</f>
        <v>0</v>
      </c>
      <c r="F21" s="12">
        <f t="shared" si="1"/>
        <v>0</v>
      </c>
    </row>
    <row r="22" spans="1:8" x14ac:dyDescent="0.25">
      <c r="A22" s="14" t="s">
        <v>13</v>
      </c>
      <c r="B22" s="12">
        <v>0.5</v>
      </c>
      <c r="C22" s="28"/>
      <c r="D22" s="11">
        <f>'Customer Input'!E56</f>
        <v>0</v>
      </c>
      <c r="E22" s="12">
        <f>'Customer Input'!F56</f>
        <v>0</v>
      </c>
      <c r="F22" s="12">
        <f t="shared" si="1"/>
        <v>0</v>
      </c>
    </row>
    <row r="23" spans="1:8" x14ac:dyDescent="0.25">
      <c r="A23" s="14" t="s">
        <v>14</v>
      </c>
      <c r="B23" s="94">
        <v>1</v>
      </c>
      <c r="C23" s="28"/>
      <c r="D23" s="11">
        <f>'Customer Input'!E57</f>
        <v>0</v>
      </c>
      <c r="E23" s="12">
        <f>'Customer Input'!F57</f>
        <v>0</v>
      </c>
      <c r="F23" s="12">
        <f t="shared" si="1"/>
        <v>0</v>
      </c>
    </row>
    <row r="24" spans="1:8" x14ac:dyDescent="0.25">
      <c r="A24" s="14" t="s">
        <v>116</v>
      </c>
      <c r="B24" s="94">
        <v>2.5</v>
      </c>
      <c r="C24" s="94">
        <v>2.5</v>
      </c>
      <c r="D24" s="11">
        <f>IF('Customer Input'!E58+'Customer Input'!E59+'Customer Input'!E60 &lt;&gt; 0,SUM('Customer Input'!E58:E60)-D25,0)</f>
        <v>0</v>
      </c>
      <c r="E24" s="11">
        <f>IF('Customer Input'!F58+'Customer Input'!F59+'Customer Input'!F60 &lt;&gt; 0,SUM('Customer Input'!F58:F60)-E25,0)</f>
        <v>0</v>
      </c>
      <c r="F24" s="12">
        <f t="shared" si="1"/>
        <v>0</v>
      </c>
    </row>
    <row r="25" spans="1:8" x14ac:dyDescent="0.25">
      <c r="A25" s="14" t="s">
        <v>117</v>
      </c>
      <c r="B25" s="94">
        <v>1</v>
      </c>
      <c r="C25" s="94">
        <v>1</v>
      </c>
      <c r="D25" s="11">
        <f>IF('Customer Input'!E58+'Customer Input'!E59+'Customer Input'!E60 &lt;&gt; 0,SUM('Customer Input'!E58:E60)-1,0)</f>
        <v>0</v>
      </c>
      <c r="E25" s="11">
        <f>IF('Customer Input'!F58+'Customer Input'!F59+'Customer Input'!F60 &lt;&gt; 0,SUM('Customer Input'!F58:F60)-1,0)</f>
        <v>0</v>
      </c>
      <c r="F25" s="12">
        <f t="shared" si="1"/>
        <v>0</v>
      </c>
    </row>
    <row r="27" spans="1:8" x14ac:dyDescent="0.25">
      <c r="E27" s="14" t="s">
        <v>33</v>
      </c>
      <c r="F27" s="13">
        <f>SUM(F2:F25)+SUM('Customer Input'!E61:F64)</f>
        <v>0</v>
      </c>
    </row>
    <row r="29" spans="1:8" x14ac:dyDescent="0.25">
      <c r="G29" s="18" t="s">
        <v>52</v>
      </c>
      <c r="H29" s="17">
        <f>IF(F27="","Please enter fixture value", IF(F27&lt;20,(-0.040095 *(F27^2))+ (1.665219 *F27) +  1.863772,IF(AND(F27&gt;=20,F27&lt;100),(-0.0002968 *(F27^2))+ (0.3311624*F27) +  13.4039954,IF(AND(F27&gt;=100,F27&lt;=315),(-0.0000836*(F27^2))+ (0.2394 *F27) + 20.53,IF(AND(F27&gt;315,F27&lt;1364),(-0.00005254*(F27^2))+(0.2444*(F27))+ 15.84, IF(F27&gt;=1364,(-0.000008128*(F27^2))+(0.1461 *(F27))+  67.3,"Please enter a valid number"))))))</f>
        <v>1.863772</v>
      </c>
    </row>
    <row r="30" spans="1:8" x14ac:dyDescent="0.25">
      <c r="A30" s="14"/>
      <c r="G30" s="18" t="s">
        <v>53</v>
      </c>
      <c r="H30" s="17">
        <f>IF(F27="","Please enter fixture value", IF(F27&lt;=10,(2.4*F27)+3,IF(AND(F27&gt;10,F27&lt;35),(-0.004125*(F27^2))+(0.906786*F27)+18.343016,IF(AND(F27&gt;=35,F27&lt;=300),(-0.0004512*(F27^2))+(0.3868*F27)+31.93,IF(AND(F27&gt;300,F27&lt;1364),(-0.00002994 *(F27^2))+(0.1815*F27)+58.03, IF(F27&gt;=1364,(-0.000008128*(F27^2))+(0.1461*F27)+67.3,"Please enter a valid number"))))))</f>
        <v>3</v>
      </c>
    </row>
    <row r="32" spans="1:8" x14ac:dyDescent="0.25">
      <c r="B32" s="11"/>
      <c r="C32" s="35"/>
      <c r="G32" s="19" t="s">
        <v>54</v>
      </c>
      <c r="H32" s="21" t="str">
        <f>IF(OR(((D2+E2+D8+E8+D4+E4)&gt;(D3+E3+D9+E9+D10+E10)),(D3+E3+D2+E2+D8+E8+D4+E4+D9+E9+D10+E10=0)),"Tank","Valve")</f>
        <v>Tank</v>
      </c>
    </row>
    <row r="33" spans="1:9" x14ac:dyDescent="0.25">
      <c r="A33" s="14"/>
      <c r="B33" s="12"/>
      <c r="C33" s="11"/>
      <c r="G33" s="19" t="s">
        <v>35</v>
      </c>
      <c r="H33" s="21">
        <f>'Customer Input'!C16</f>
        <v>0</v>
      </c>
    </row>
    <row r="34" spans="1:9" x14ac:dyDescent="0.25">
      <c r="A34" s="14"/>
      <c r="B34" s="12"/>
      <c r="C34" s="11"/>
      <c r="G34" s="19" t="s">
        <v>36</v>
      </c>
      <c r="H34" s="21">
        <f>'Customer Input'!C17</f>
        <v>0</v>
      </c>
    </row>
    <row r="35" spans="1:9" x14ac:dyDescent="0.25">
      <c r="A35" s="14"/>
      <c r="B35" s="12"/>
      <c r="C35" s="11"/>
    </row>
    <row r="36" spans="1:9" x14ac:dyDescent="0.25">
      <c r="G36" s="19" t="s">
        <v>42</v>
      </c>
      <c r="H36" s="22">
        <f>(IF(H32="Tank",(H29),(H30)))</f>
        <v>1.863772</v>
      </c>
    </row>
    <row r="37" spans="1:9" x14ac:dyDescent="0.25">
      <c r="A37" s="38" t="s">
        <v>58</v>
      </c>
      <c r="B37">
        <f>H41*0.002228</f>
        <v>4.1524840159999996E-3</v>
      </c>
      <c r="G37" s="3" t="s">
        <v>40</v>
      </c>
      <c r="H37" s="24">
        <f>IF(H36&lt;=Domestic_Sizing!A2,Domestic_Sizing!B2,IF(AND(UPC_Calculation!H36&gt;Domestic_Sizing!A2,UPC_Calculation!H36&lt;=Domestic_Sizing!A3),Domestic_Sizing!B3,IF(AND(UPC_Calculation!H36&gt;Domestic_Sizing!A3,UPC_Calculation!H36&lt;=Domestic_Sizing!A4),Domestic_Sizing!B4,IF(AND(UPC_Calculation!H36&gt;Domestic_Sizing!A4,UPC_Calculation!H36&lt;=Domestic_Sizing!A5),Domestic_Sizing!B5,IF(AND(UPC_Calculation!H36&gt;Domestic_Sizing!A5,UPC_Calculation!H36&lt;=Domestic_Sizing!A6),Domestic_Sizing!B6,IF(AND(UPC_Calculation!H36&gt;Domestic_Sizing!A6,UPC_Calculation!H36&lt;=Domestic_Sizing!A7),Domestic_Sizing!B7,IF(AND(UPC_Calculation!H36&gt;Domestic_Sizing!A7,UPC_Calculation!H36&lt;=Domestic_Sizing!A8),Domestic_Sizing!B8,IF(AND(UPC_Calculation!H36&gt;Domestic_Sizing!A8,UPC_Calculation!H36&lt;=Domestic_Sizing!A9),Domestic_Sizing!B9,IF(UPC_Calculation!H36&gt;Domestic_Sizing!A9,Domestic_Sizing!B10,"")))))))))</f>
        <v>0.75</v>
      </c>
      <c r="I37" s="23"/>
    </row>
    <row r="38" spans="1:9" x14ac:dyDescent="0.25">
      <c r="A38" s="38" t="s">
        <v>59</v>
      </c>
      <c r="B38">
        <f>(H42^2)*3.14/4/144</f>
        <v>3.0664062500000001E-3</v>
      </c>
    </row>
    <row r="39" spans="1:9" x14ac:dyDescent="0.25">
      <c r="A39" s="14"/>
    </row>
    <row r="40" spans="1:9" x14ac:dyDescent="0.25">
      <c r="G40" s="3"/>
      <c r="H40" s="47"/>
    </row>
    <row r="41" spans="1:9" x14ac:dyDescent="0.25">
      <c r="G41" s="25" t="s">
        <v>43</v>
      </c>
      <c r="H41" s="26">
        <f>H36</f>
        <v>1.863772</v>
      </c>
    </row>
    <row r="42" spans="1:9" x14ac:dyDescent="0.25">
      <c r="G42" s="25" t="s">
        <v>62</v>
      </c>
      <c r="H42" s="27">
        <f>IF(AND(H37&lt;H40,OR(H33="Mutli-family",H33="Mixed Use")),H40,H37)</f>
        <v>0.75</v>
      </c>
    </row>
    <row r="43" spans="1:9" x14ac:dyDescent="0.25">
      <c r="G43" s="25" t="s">
        <v>60</v>
      </c>
      <c r="H43" s="26">
        <f>B37/B38</f>
        <v>1.354185870185987</v>
      </c>
    </row>
    <row r="45" spans="1:9" x14ac:dyDescent="0.25">
      <c r="A45" s="45" t="s">
        <v>71</v>
      </c>
    </row>
    <row r="46" spans="1:9" x14ac:dyDescent="0.25">
      <c r="A46" s="46" t="s">
        <v>122</v>
      </c>
    </row>
  </sheetData>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9" tint="0.39997558519241921"/>
  </sheetPr>
  <dimension ref="A1:B27"/>
  <sheetViews>
    <sheetView workbookViewId="0">
      <selection activeCell="B3" sqref="B3"/>
    </sheetView>
  </sheetViews>
  <sheetFormatPr defaultRowHeight="15" x14ac:dyDescent="0.25"/>
  <cols>
    <col min="1" max="1" width="21.5703125" style="7" customWidth="1"/>
    <col min="2" max="2" width="20" style="7" customWidth="1"/>
  </cols>
  <sheetData>
    <row r="1" spans="1:2" x14ac:dyDescent="0.25">
      <c r="A1" s="123" t="s">
        <v>131</v>
      </c>
      <c r="B1" s="123" t="s">
        <v>6</v>
      </c>
    </row>
    <row r="2" spans="1:2" x14ac:dyDescent="0.25">
      <c r="A2" s="123"/>
      <c r="B2" s="123"/>
    </row>
    <row r="3" spans="1:2" x14ac:dyDescent="0.25">
      <c r="A3" s="5">
        <v>35</v>
      </c>
      <c r="B3" s="5">
        <v>0.74</v>
      </c>
    </row>
    <row r="4" spans="1:2" x14ac:dyDescent="0.25">
      <c r="A4" s="5">
        <f>A3+5</f>
        <v>40</v>
      </c>
      <c r="B4" s="6">
        <v>0.8</v>
      </c>
    </row>
    <row r="5" spans="1:2" x14ac:dyDescent="0.25">
      <c r="A5" s="5">
        <f t="shared" ref="A5:A24" si="0">A4+5</f>
        <v>45</v>
      </c>
      <c r="B5" s="5">
        <f>(B4+B6)/2</f>
        <v>0.85000000000000009</v>
      </c>
    </row>
    <row r="6" spans="1:2" x14ac:dyDescent="0.25">
      <c r="A6" s="5">
        <f t="shared" si="0"/>
        <v>50</v>
      </c>
      <c r="B6" s="6">
        <v>0.9</v>
      </c>
    </row>
    <row r="7" spans="1:2" x14ac:dyDescent="0.25">
      <c r="A7" s="5">
        <f t="shared" si="0"/>
        <v>55</v>
      </c>
      <c r="B7" s="5">
        <f>(B6+B8)/2</f>
        <v>0.95</v>
      </c>
    </row>
    <row r="8" spans="1:2" x14ac:dyDescent="0.25">
      <c r="A8" s="5">
        <f t="shared" si="0"/>
        <v>60</v>
      </c>
      <c r="B8" s="6">
        <v>1</v>
      </c>
    </row>
    <row r="9" spans="1:2" x14ac:dyDescent="0.25">
      <c r="A9" s="5">
        <f t="shared" si="0"/>
        <v>65</v>
      </c>
      <c r="B9" s="5">
        <f>ROUND((B8+B10)/2,2)</f>
        <v>1.05</v>
      </c>
    </row>
    <row r="10" spans="1:2" x14ac:dyDescent="0.25">
      <c r="A10" s="5">
        <f t="shared" si="0"/>
        <v>70</v>
      </c>
      <c r="B10" s="5">
        <v>1.0900000000000001</v>
      </c>
    </row>
    <row r="11" spans="1:2" x14ac:dyDescent="0.25">
      <c r="A11" s="5">
        <f t="shared" si="0"/>
        <v>75</v>
      </c>
      <c r="B11" s="5">
        <f>(B10+B12)/2</f>
        <v>1.1299999999999999</v>
      </c>
    </row>
    <row r="12" spans="1:2" x14ac:dyDescent="0.25">
      <c r="A12" s="5">
        <f t="shared" si="0"/>
        <v>80</v>
      </c>
      <c r="B12" s="5">
        <v>1.17</v>
      </c>
    </row>
    <row r="13" spans="1:2" x14ac:dyDescent="0.25">
      <c r="A13" s="5">
        <f t="shared" si="0"/>
        <v>85</v>
      </c>
      <c r="B13" s="5">
        <f>(B12+B14)/2</f>
        <v>1.21</v>
      </c>
    </row>
    <row r="14" spans="1:2" x14ac:dyDescent="0.25">
      <c r="A14" s="5">
        <f t="shared" si="0"/>
        <v>90</v>
      </c>
      <c r="B14" s="5">
        <v>1.25</v>
      </c>
    </row>
    <row r="15" spans="1:2" x14ac:dyDescent="0.25">
      <c r="A15" s="5">
        <f t="shared" si="0"/>
        <v>95</v>
      </c>
      <c r="B15" s="6">
        <f>ROUND((B14+B16)/2,2)</f>
        <v>1.3</v>
      </c>
    </row>
    <row r="16" spans="1:2" x14ac:dyDescent="0.25">
      <c r="A16" s="5">
        <f t="shared" si="0"/>
        <v>100</v>
      </c>
      <c r="B16" s="5">
        <v>1.34</v>
      </c>
    </row>
    <row r="17" spans="1:2" x14ac:dyDescent="0.25">
      <c r="A17" s="5">
        <f t="shared" si="0"/>
        <v>105</v>
      </c>
      <c r="B17" s="6">
        <f>0.009*A17+0.4445</f>
        <v>1.3895</v>
      </c>
    </row>
    <row r="18" spans="1:2" x14ac:dyDescent="0.25">
      <c r="A18" s="5">
        <f t="shared" si="0"/>
        <v>110</v>
      </c>
      <c r="B18" s="6">
        <f t="shared" ref="B18:B23" si="1">0.009*A18+0.4445</f>
        <v>1.4344999999999999</v>
      </c>
    </row>
    <row r="19" spans="1:2" x14ac:dyDescent="0.25">
      <c r="A19" s="5">
        <f t="shared" si="0"/>
        <v>115</v>
      </c>
      <c r="B19" s="6">
        <f t="shared" si="1"/>
        <v>1.4794999999999998</v>
      </c>
    </row>
    <row r="20" spans="1:2" x14ac:dyDescent="0.25">
      <c r="A20" s="5">
        <f t="shared" si="0"/>
        <v>120</v>
      </c>
      <c r="B20" s="6">
        <f t="shared" si="1"/>
        <v>1.5244999999999997</v>
      </c>
    </row>
    <row r="21" spans="1:2" x14ac:dyDescent="0.25">
      <c r="A21" s="5">
        <f t="shared" si="0"/>
        <v>125</v>
      </c>
      <c r="B21" s="6">
        <f t="shared" si="1"/>
        <v>1.5695000000000001</v>
      </c>
    </row>
    <row r="22" spans="1:2" x14ac:dyDescent="0.25">
      <c r="A22" s="5">
        <f t="shared" si="0"/>
        <v>130</v>
      </c>
      <c r="B22" s="6">
        <f t="shared" si="1"/>
        <v>1.6145</v>
      </c>
    </row>
    <row r="23" spans="1:2" x14ac:dyDescent="0.25">
      <c r="A23" s="5">
        <f t="shared" si="0"/>
        <v>135</v>
      </c>
      <c r="B23" s="6">
        <f t="shared" si="1"/>
        <v>1.6595</v>
      </c>
    </row>
    <row r="24" spans="1:2" x14ac:dyDescent="0.25">
      <c r="A24" s="5">
        <f t="shared" si="0"/>
        <v>140</v>
      </c>
      <c r="B24" s="6">
        <f>0.009*A24+0.4445</f>
        <v>1.7044999999999999</v>
      </c>
    </row>
    <row r="26" spans="1:2" x14ac:dyDescent="0.25">
      <c r="A26" s="98" t="s">
        <v>129</v>
      </c>
    </row>
    <row r="27" spans="1:2" x14ac:dyDescent="0.25">
      <c r="A27" s="98" t="s">
        <v>130</v>
      </c>
    </row>
  </sheetData>
  <mergeCells count="2">
    <mergeCell ref="A1:A2"/>
    <mergeCell ref="B1:B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5"/>
  </sheetPr>
  <dimension ref="A1:B10"/>
  <sheetViews>
    <sheetView workbookViewId="0">
      <selection activeCell="B3" sqref="B3"/>
    </sheetView>
  </sheetViews>
  <sheetFormatPr defaultRowHeight="15" x14ac:dyDescent="0.25"/>
  <cols>
    <col min="1" max="2" width="21.5703125" style="2" bestFit="1" customWidth="1"/>
  </cols>
  <sheetData>
    <row r="1" spans="1:2" x14ac:dyDescent="0.25">
      <c r="A1" s="1" t="s">
        <v>39</v>
      </c>
      <c r="B1" s="1" t="s">
        <v>38</v>
      </c>
    </row>
    <row r="2" spans="1:2" x14ac:dyDescent="0.25">
      <c r="A2" s="2">
        <v>15.1</v>
      </c>
      <c r="B2" s="2">
        <v>0.75</v>
      </c>
    </row>
    <row r="3" spans="1:2" x14ac:dyDescent="0.25">
      <c r="A3" s="2">
        <v>26.9</v>
      </c>
      <c r="B3" s="2">
        <v>1</v>
      </c>
    </row>
    <row r="4" spans="1:2" x14ac:dyDescent="0.25">
      <c r="A4" s="2">
        <v>60.6</v>
      </c>
      <c r="B4" s="2">
        <v>1.5</v>
      </c>
    </row>
    <row r="5" spans="1:2" x14ac:dyDescent="0.25">
      <c r="A5" s="2">
        <v>107.7</v>
      </c>
      <c r="B5" s="2">
        <v>2</v>
      </c>
    </row>
    <row r="6" spans="1:2" x14ac:dyDescent="0.25">
      <c r="A6" s="2">
        <v>242.2</v>
      </c>
      <c r="B6" s="2">
        <v>3</v>
      </c>
    </row>
    <row r="7" spans="1:2" x14ac:dyDescent="0.25">
      <c r="A7" s="2">
        <v>430.6</v>
      </c>
      <c r="B7" s="2">
        <v>4</v>
      </c>
    </row>
    <row r="8" spans="1:2" x14ac:dyDescent="0.25">
      <c r="A8" s="2">
        <v>968.9</v>
      </c>
      <c r="B8" s="2">
        <v>6</v>
      </c>
    </row>
    <row r="9" spans="1:2" x14ac:dyDescent="0.25">
      <c r="A9" s="2">
        <v>1722.5</v>
      </c>
      <c r="B9" s="2">
        <v>8</v>
      </c>
    </row>
    <row r="10" spans="1:2" x14ac:dyDescent="0.25">
      <c r="A10" s="2">
        <v>2691.4</v>
      </c>
      <c r="B10" s="2">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Customer Input</vt:lpstr>
      <vt:lpstr>AWWAvsIPCvsUPC</vt:lpstr>
      <vt:lpstr>Database</vt:lpstr>
      <vt:lpstr>AWWA_Calculation04</vt:lpstr>
      <vt:lpstr>AWWA_Calculation14</vt:lpstr>
      <vt:lpstr>IPC_Calculation</vt:lpstr>
      <vt:lpstr>UPC_Calculation</vt:lpstr>
      <vt:lpstr>AWWA_Pressure</vt:lpstr>
      <vt:lpstr>Domestic_Sizing</vt:lpstr>
      <vt:lpstr>'Customer Input'!OLE_LINK1</vt:lpstr>
      <vt:lpstr>'Customer Input'!Print_Area</vt:lpstr>
    </vt:vector>
  </TitlesOfParts>
  <Company>Denver Water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Gorman, Jaclyn M.</dc:creator>
  <cp:lastModifiedBy>Gorman, Jaclyn M.</cp:lastModifiedBy>
  <cp:lastPrinted>2016-12-08T20:10:20Z</cp:lastPrinted>
  <dcterms:created xsi:type="dcterms:W3CDTF">2016-12-06T15:31:02Z</dcterms:created>
  <dcterms:modified xsi:type="dcterms:W3CDTF">2020-12-17T15:49:20Z</dcterms:modified>
</cp:coreProperties>
</file>